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C:\Users\camilo.cmt\Downloads\Planilha_de_Custos___cons (2)\"/>
    </mc:Choice>
  </mc:AlternateContent>
  <xr:revisionPtr revIDLastSave="0" documentId="13_ncr:1_{46F53636-B3A2-4529-AD52-A2504A1625F6}" xr6:coauthVersionLast="36" xr6:coauthVersionMax="47" xr10:uidLastSave="{00000000-0000-0000-0000-000000000000}"/>
  <bookViews>
    <workbookView xWindow="-90" yWindow="-90" windowWidth="28980" windowHeight="15780" tabRatio="844" xr2:uid="{00000000-000D-0000-FFFF-FFFF00000000}"/>
  </bookViews>
  <sheets>
    <sheet name="Resumo" sheetId="18" r:id="rId1"/>
    <sheet name="LAVADOR DE CARRO" sheetId="19" r:id="rId2"/>
    <sheet name="Equipamentos LAVADOR" sheetId="36" r:id="rId3"/>
    <sheet name="Material sob demanda LAVADOR" sheetId="41" r:id="rId4"/>
    <sheet name="LIMPEZA CAU" sheetId="37" r:id="rId5"/>
    <sheet name="Equipamentos LIMPEZA CAU" sheetId="30" r:id="rId6"/>
    <sheet name="Material sob demanda LIMP CAU" sheetId="42" r:id="rId7"/>
    <sheet name="LIMPEZA PHB" sheetId="20" r:id="rId8"/>
    <sheet name="Complemento Limp. PHB" sheetId="44" r:id="rId9"/>
    <sheet name="Cálculo de Necessidade" sheetId="45" r:id="rId10"/>
    <sheet name="Materiais e Equip. PHB" sheetId="39" r:id="rId11"/>
    <sheet name="Material sob demanda LIMP PHB" sheetId="43" r:id="rId12"/>
    <sheet name="CARREGADOR" sheetId="48" r:id="rId13"/>
    <sheet name="Materiais e EPI" sheetId="47" r:id="rId14"/>
    <sheet name="Transporte (THE)" sheetId="29" r:id="rId15"/>
    <sheet name="Transporte (PHB)" sheetId="40" r:id="rId16"/>
    <sheet name="Uniformes" sheetId="28" r:id="rId17"/>
    <sheet name="Planilha1" sheetId="49" r:id="rId18"/>
  </sheets>
  <definedNames>
    <definedName name="_xlnm.Print_Area" localSheetId="4">'LIMPEZA CAU'!$A$1:$I$134</definedName>
    <definedName name="_xlnm.Print_Area" localSheetId="7">'LIMPEZA PHB'!$A$1:$I$134</definedName>
    <definedName name="_xlnm.Print_Area" localSheetId="0">Resumo!$A$1:$K$38</definedName>
  </definedNames>
  <calcPr calcId="191029" iterateDelta="1E-4"/>
</workbook>
</file>

<file path=xl/calcChain.xml><?xml version="1.0" encoding="utf-8"?>
<calcChain xmlns="http://schemas.openxmlformats.org/spreadsheetml/2006/main">
  <c r="I25" i="20" l="1"/>
  <c r="I51" i="19" l="1"/>
  <c r="I25" i="19"/>
  <c r="F18" i="47" l="1"/>
  <c r="F17" i="47"/>
  <c r="F16" i="47"/>
  <c r="F15" i="47"/>
  <c r="F14" i="47"/>
  <c r="G4" i="47"/>
  <c r="G3" i="47"/>
  <c r="G5" i="47" l="1"/>
  <c r="F19" i="47"/>
  <c r="F20" i="47" s="1"/>
  <c r="I100" i="48" s="1"/>
  <c r="I99" i="48" l="1"/>
  <c r="B133" i="48"/>
  <c r="B131" i="48"/>
  <c r="B130" i="48"/>
  <c r="B129" i="48"/>
  <c r="B128" i="48"/>
  <c r="B127" i="48"/>
  <c r="H116" i="48"/>
  <c r="H114" i="48"/>
  <c r="I88" i="48"/>
  <c r="I93" i="48" s="1"/>
  <c r="H88" i="48"/>
  <c r="H84" i="48"/>
  <c r="H68" i="48"/>
  <c r="H69" i="48" s="1"/>
  <c r="H71" i="48" s="1"/>
  <c r="H67" i="48"/>
  <c r="H66" i="48"/>
  <c r="H48" i="48"/>
  <c r="H35" i="48"/>
  <c r="H37" i="48" s="1"/>
  <c r="I28" i="48"/>
  <c r="I26" i="48"/>
  <c r="I25" i="48"/>
  <c r="I27" i="48" s="1"/>
  <c r="B17" i="29"/>
  <c r="D17" i="29" s="1"/>
  <c r="I51" i="48" s="1"/>
  <c r="C17" i="29"/>
  <c r="D11" i="29"/>
  <c r="E5" i="29"/>
  <c r="F34" i="28"/>
  <c r="F33" i="28"/>
  <c r="F32" i="28"/>
  <c r="F31" i="28"/>
  <c r="F30" i="28"/>
  <c r="F29" i="28"/>
  <c r="I55" i="48" l="1"/>
  <c r="I61" i="48" s="1"/>
  <c r="F35" i="28"/>
  <c r="F36" i="28" s="1"/>
  <c r="I98" i="48" s="1"/>
  <c r="I101" i="48" s="1"/>
  <c r="I131" i="48" s="1"/>
  <c r="I29" i="48"/>
  <c r="I30" i="48"/>
  <c r="E25" i="18"/>
  <c r="I31" i="48" l="1"/>
  <c r="I68" i="48" s="1"/>
  <c r="I66" i="48" l="1"/>
  <c r="I70" i="48"/>
  <c r="B76" i="48"/>
  <c r="I127" i="48"/>
  <c r="I36" i="48"/>
  <c r="I35" i="48"/>
  <c r="I37" i="48" s="1"/>
  <c r="I69" i="48"/>
  <c r="I67" i="48"/>
  <c r="I71" i="48" s="1"/>
  <c r="B18" i="45"/>
  <c r="E16" i="45"/>
  <c r="E15" i="45"/>
  <c r="E12" i="45"/>
  <c r="E11" i="45"/>
  <c r="E10" i="45"/>
  <c r="E18" i="45" s="1"/>
  <c r="E7" i="45"/>
  <c r="E6" i="45"/>
  <c r="E5" i="45"/>
  <c r="E4" i="45"/>
  <c r="E3" i="45"/>
  <c r="I59" i="48" l="1"/>
  <c r="I44" i="48"/>
  <c r="I46" i="48"/>
  <c r="I42" i="48"/>
  <c r="I41" i="48"/>
  <c r="I47" i="48"/>
  <c r="I45" i="48"/>
  <c r="I43" i="48"/>
  <c r="I40" i="48"/>
  <c r="F76" i="48"/>
  <c r="I129" i="48"/>
  <c r="I48" i="48" l="1"/>
  <c r="I60" i="48" s="1"/>
  <c r="I62" i="48" s="1"/>
  <c r="F22" i="28"/>
  <c r="F21" i="28"/>
  <c r="F20" i="28"/>
  <c r="F19" i="28"/>
  <c r="F18" i="28"/>
  <c r="F17" i="28"/>
  <c r="F23" i="28" l="1"/>
  <c r="F24" i="28" s="1"/>
  <c r="I128" i="48"/>
  <c r="D76" i="48"/>
  <c r="I76" i="48" s="1"/>
  <c r="F5" i="41"/>
  <c r="F6" i="41"/>
  <c r="F7" i="41"/>
  <c r="F8" i="41"/>
  <c r="F9" i="41"/>
  <c r="F10" i="41"/>
  <c r="F11" i="41"/>
  <c r="F12" i="41"/>
  <c r="F13" i="41"/>
  <c r="F14" i="41"/>
  <c r="F15" i="41"/>
  <c r="F16" i="41"/>
  <c r="F17" i="41"/>
  <c r="F4" i="41"/>
  <c r="E26" i="44"/>
  <c r="C26" i="44"/>
  <c r="E25" i="44"/>
  <c r="C25" i="44"/>
  <c r="C18" i="44"/>
  <c r="C17" i="44"/>
  <c r="C16" i="44"/>
  <c r="C11" i="44"/>
  <c r="C10" i="44"/>
  <c r="C9" i="44"/>
  <c r="C8" i="44"/>
  <c r="C7" i="44"/>
  <c r="F26" i="44" l="1"/>
  <c r="F25" i="44"/>
  <c r="I98" i="37"/>
  <c r="I98" i="20"/>
  <c r="I80" i="48"/>
  <c r="I83" i="48"/>
  <c r="I82" i="48"/>
  <c r="I81" i="48"/>
  <c r="I79" i="48"/>
  <c r="I78" i="48"/>
  <c r="G12" i="39"/>
  <c r="G13" i="39"/>
  <c r="G14" i="39"/>
  <c r="G15" i="39"/>
  <c r="F45" i="43"/>
  <c r="F44" i="43"/>
  <c r="F43" i="43"/>
  <c r="F42" i="43"/>
  <c r="F41" i="43"/>
  <c r="F40" i="43"/>
  <c r="F39" i="43"/>
  <c r="F38" i="43"/>
  <c r="F37" i="43"/>
  <c r="F36" i="43"/>
  <c r="F35" i="43"/>
  <c r="F34" i="43"/>
  <c r="F33" i="43"/>
  <c r="F32" i="43"/>
  <c r="F31" i="43"/>
  <c r="F30" i="43"/>
  <c r="F29" i="43"/>
  <c r="F28" i="43"/>
  <c r="F27" i="43"/>
  <c r="F26" i="43"/>
  <c r="F25" i="43"/>
  <c r="F24" i="43"/>
  <c r="F23" i="43"/>
  <c r="F22" i="43"/>
  <c r="F21" i="43"/>
  <c r="F20" i="43"/>
  <c r="F19" i="43"/>
  <c r="F18" i="43"/>
  <c r="F17" i="43"/>
  <c r="F16" i="43"/>
  <c r="F15" i="43"/>
  <c r="F14" i="43"/>
  <c r="F13" i="43"/>
  <c r="F12" i="43"/>
  <c r="F11" i="43"/>
  <c r="F10" i="43"/>
  <c r="F9" i="43"/>
  <c r="F8" i="43"/>
  <c r="F7" i="43"/>
  <c r="F6" i="43"/>
  <c r="F5" i="43"/>
  <c r="F4" i="43"/>
  <c r="F3" i="43"/>
  <c r="I84" i="48" l="1"/>
  <c r="I92" i="48" s="1"/>
  <c r="I94" i="48" s="1"/>
  <c r="I130" i="48" s="1"/>
  <c r="I132" i="48" s="1"/>
  <c r="I106" i="48" s="1"/>
  <c r="I108" i="48" s="1"/>
  <c r="I119" i="48" s="1"/>
  <c r="I121" i="48" s="1"/>
  <c r="F46" i="43"/>
  <c r="F28" i="42"/>
  <c r="F27" i="42"/>
  <c r="F26" i="42"/>
  <c r="F25" i="42"/>
  <c r="F24" i="42"/>
  <c r="F23" i="42"/>
  <c r="F22" i="42"/>
  <c r="F21" i="42"/>
  <c r="F20" i="42"/>
  <c r="F19" i="42"/>
  <c r="F18" i="42"/>
  <c r="F17" i="42"/>
  <c r="F16" i="42"/>
  <c r="F15" i="42"/>
  <c r="F14" i="42"/>
  <c r="F13" i="42"/>
  <c r="F12" i="42"/>
  <c r="F11" i="42"/>
  <c r="F10" i="42"/>
  <c r="F9" i="42"/>
  <c r="F8" i="42"/>
  <c r="F7" i="42"/>
  <c r="F6" i="42"/>
  <c r="F5" i="42"/>
  <c r="F4" i="42"/>
  <c r="F3" i="42"/>
  <c r="F29" i="42" l="1"/>
  <c r="F30" i="42" s="1"/>
  <c r="J8" i="18" s="1"/>
  <c r="K8" i="18" s="1"/>
  <c r="I112" i="48"/>
  <c r="I113" i="48"/>
  <c r="I123" i="48"/>
  <c r="I111" i="48"/>
  <c r="F47" i="43"/>
  <c r="J26" i="18" s="1"/>
  <c r="K26" i="18" s="1"/>
  <c r="I29" i="44"/>
  <c r="F18" i="41"/>
  <c r="I114" i="48" l="1"/>
  <c r="I133" i="48" s="1"/>
  <c r="I134" i="48" s="1"/>
  <c r="H29" i="18" s="1"/>
  <c r="F19" i="41"/>
  <c r="F20" i="41" s="1"/>
  <c r="J4" i="18" s="1"/>
  <c r="K4" i="18" s="1"/>
  <c r="I29" i="18" l="1"/>
  <c r="J29" i="18"/>
  <c r="K29" i="18" s="1"/>
  <c r="E3" i="40"/>
  <c r="B11" i="40" s="1"/>
  <c r="B7" i="40"/>
  <c r="D7" i="40" s="1"/>
  <c r="C11" i="40" s="1"/>
  <c r="G16" i="39"/>
  <c r="G11" i="39"/>
  <c r="G10" i="39"/>
  <c r="G9" i="39"/>
  <c r="G8" i="39"/>
  <c r="G7" i="39"/>
  <c r="G6" i="39"/>
  <c r="G5" i="39"/>
  <c r="G4" i="39"/>
  <c r="B133" i="37"/>
  <c r="B131" i="37"/>
  <c r="B130" i="37"/>
  <c r="B129" i="37"/>
  <c r="B128" i="37"/>
  <c r="B127" i="37"/>
  <c r="H116" i="37"/>
  <c r="H114" i="37"/>
  <c r="I88" i="37"/>
  <c r="I93" i="37" s="1"/>
  <c r="H88" i="37"/>
  <c r="H84" i="37"/>
  <c r="H68" i="37"/>
  <c r="H66" i="37"/>
  <c r="H67" i="37" s="1"/>
  <c r="H48" i="37"/>
  <c r="H35" i="37"/>
  <c r="H37" i="37" s="1"/>
  <c r="I26" i="37"/>
  <c r="I28" i="37" s="1"/>
  <c r="I25" i="37"/>
  <c r="I27" i="37" s="1"/>
  <c r="I29" i="37" s="1"/>
  <c r="G7" i="36"/>
  <c r="G6" i="36"/>
  <c r="G5" i="36"/>
  <c r="G4" i="36"/>
  <c r="H69" i="37" l="1"/>
  <c r="G17" i="39"/>
  <c r="I99" i="20" s="1"/>
  <c r="G8" i="36"/>
  <c r="I99" i="19" s="1"/>
  <c r="D11" i="40"/>
  <c r="I51" i="20" s="1"/>
  <c r="I30" i="37"/>
  <c r="I31" i="37" s="1"/>
  <c r="H71" i="37"/>
  <c r="I69" i="37" l="1"/>
  <c r="I67" i="37"/>
  <c r="I68" i="37"/>
  <c r="I35" i="37"/>
  <c r="I66" i="37"/>
  <c r="I127" i="37"/>
  <c r="I70" i="37"/>
  <c r="I36" i="37"/>
  <c r="B76" i="37"/>
  <c r="I71" i="37" l="1"/>
  <c r="F76" i="37"/>
  <c r="I129" i="37"/>
  <c r="I37" i="37"/>
  <c r="I59" i="37" l="1"/>
  <c r="I41" i="37"/>
  <c r="I45" i="37"/>
  <c r="I43" i="37"/>
  <c r="I40" i="37"/>
  <c r="I47" i="37"/>
  <c r="I42" i="37"/>
  <c r="I44" i="37"/>
  <c r="I46" i="37"/>
  <c r="I48" i="37" l="1"/>
  <c r="I60" i="37" s="1"/>
  <c r="F6" i="28" l="1"/>
  <c r="F7" i="28"/>
  <c r="F8" i="28"/>
  <c r="F9" i="28"/>
  <c r="F10" i="28"/>
  <c r="G5" i="30" l="1"/>
  <c r="G6" i="30"/>
  <c r="G7" i="30"/>
  <c r="G8" i="30"/>
  <c r="G4" i="30"/>
  <c r="G9" i="30" l="1"/>
  <c r="I99" i="37" s="1"/>
  <c r="I30" i="20"/>
  <c r="F4" i="28"/>
  <c r="F5" i="28"/>
  <c r="D9" i="29"/>
  <c r="I30" i="19"/>
  <c r="F11" i="28" l="1"/>
  <c r="F12" i="28" s="1"/>
  <c r="I98" i="19" s="1"/>
  <c r="I101" i="37" l="1"/>
  <c r="I131" i="37" s="1"/>
  <c r="I101" i="20"/>
  <c r="B128" i="20"/>
  <c r="B133" i="20"/>
  <c r="B131" i="20"/>
  <c r="B130" i="20"/>
  <c r="B129" i="20"/>
  <c r="B127" i="20"/>
  <c r="H116" i="20"/>
  <c r="H114" i="20"/>
  <c r="I88" i="20"/>
  <c r="I93" i="20" s="1"/>
  <c r="H88" i="20"/>
  <c r="H84" i="20"/>
  <c r="H68" i="20"/>
  <c r="H66" i="20"/>
  <c r="H67" i="20" s="1"/>
  <c r="H48" i="20"/>
  <c r="H35" i="20"/>
  <c r="H37" i="20" s="1"/>
  <c r="I27" i="20"/>
  <c r="I29" i="20" s="1"/>
  <c r="I26" i="20"/>
  <c r="I28" i="20" l="1"/>
  <c r="I31" i="20" s="1"/>
  <c r="H69" i="20"/>
  <c r="H71" i="20" s="1"/>
  <c r="I127" i="20" l="1"/>
  <c r="I35" i="20"/>
  <c r="I70" i="20"/>
  <c r="I36" i="20"/>
  <c r="I67" i="20"/>
  <c r="I66" i="20"/>
  <c r="I68" i="20"/>
  <c r="B76" i="20"/>
  <c r="I69" i="20"/>
  <c r="I37" i="20" l="1"/>
  <c r="I47" i="20" s="1"/>
  <c r="I71" i="20"/>
  <c r="I129" i="20" s="1"/>
  <c r="I44" i="20"/>
  <c r="I40" i="20" l="1"/>
  <c r="I46" i="20"/>
  <c r="I43" i="20"/>
  <c r="I45" i="20"/>
  <c r="I59" i="20"/>
  <c r="F76" i="20"/>
  <c r="I42" i="20"/>
  <c r="I41" i="20"/>
  <c r="I26" i="19"/>
  <c r="I28" i="19" s="1"/>
  <c r="I27" i="19"/>
  <c r="I29" i="19" s="1"/>
  <c r="H35" i="19"/>
  <c r="H37" i="19" s="1"/>
  <c r="H48" i="19"/>
  <c r="H66" i="19"/>
  <c r="H67" i="19" s="1"/>
  <c r="H68" i="19"/>
  <c r="H84" i="19"/>
  <c r="H88" i="19"/>
  <c r="I88" i="19"/>
  <c r="I93" i="19" s="1"/>
  <c r="H114" i="19"/>
  <c r="H116" i="19"/>
  <c r="B127" i="19"/>
  <c r="B128" i="19"/>
  <c r="B129" i="19"/>
  <c r="B130" i="19"/>
  <c r="B131" i="19"/>
  <c r="B133" i="19"/>
  <c r="I48" i="20" l="1"/>
  <c r="I60" i="20" s="1"/>
  <c r="H69" i="19"/>
  <c r="H71" i="19" s="1"/>
  <c r="I31" i="19"/>
  <c r="I35" i="19" l="1"/>
  <c r="B76" i="19"/>
  <c r="I67" i="19"/>
  <c r="I69" i="19"/>
  <c r="I68" i="19"/>
  <c r="I127" i="19"/>
  <c r="I36" i="19"/>
  <c r="I66" i="19"/>
  <c r="I70" i="19"/>
  <c r="I71" i="19" l="1"/>
  <c r="F76" i="19" s="1"/>
  <c r="I37" i="19"/>
  <c r="I41" i="19" s="1"/>
  <c r="I43" i="19" l="1"/>
  <c r="I129" i="19"/>
  <c r="I59" i="19"/>
  <c r="I44" i="19"/>
  <c r="I40" i="19"/>
  <c r="I45" i="19"/>
  <c r="I46" i="19"/>
  <c r="I47" i="19"/>
  <c r="I42" i="19"/>
  <c r="D10" i="29"/>
  <c r="C16" i="29" s="1"/>
  <c r="C15" i="29"/>
  <c r="E4" i="29"/>
  <c r="B16" i="29" s="1"/>
  <c r="E3" i="29"/>
  <c r="B15" i="29" s="1"/>
  <c r="I48" i="19" l="1"/>
  <c r="I60" i="19" s="1"/>
  <c r="D15" i="29"/>
  <c r="D16" i="29"/>
  <c r="I51" i="37" s="1"/>
  <c r="I55" i="37" l="1"/>
  <c r="I61" i="37" s="1"/>
  <c r="I62" i="37" s="1"/>
  <c r="I128" i="37" s="1"/>
  <c r="I55" i="19"/>
  <c r="D76" i="37" l="1"/>
  <c r="I76" i="37" s="1"/>
  <c r="I79" i="37" s="1"/>
  <c r="I55" i="20"/>
  <c r="I61" i="20" s="1"/>
  <c r="I62" i="20" s="1"/>
  <c r="D76" i="20" s="1"/>
  <c r="I76" i="20" s="1"/>
  <c r="I61" i="19"/>
  <c r="I62" i="19" s="1"/>
  <c r="I82" i="37" l="1"/>
  <c r="I80" i="37"/>
  <c r="I83" i="37"/>
  <c r="I81" i="37"/>
  <c r="I78" i="37"/>
  <c r="I79" i="20"/>
  <c r="I128" i="20"/>
  <c r="I128" i="19"/>
  <c r="D76" i="19"/>
  <c r="I76" i="19" s="1"/>
  <c r="I78" i="19" s="1"/>
  <c r="I84" i="37" l="1"/>
  <c r="I82" i="20"/>
  <c r="I83" i="20"/>
  <c r="I81" i="20"/>
  <c r="I78" i="20"/>
  <c r="I80" i="20"/>
  <c r="I101" i="19"/>
  <c r="I131" i="19" s="1"/>
  <c r="I82" i="19"/>
  <c r="I81" i="19"/>
  <c r="I79" i="19"/>
  <c r="I83" i="19"/>
  <c r="I131" i="20"/>
  <c r="I80" i="19"/>
  <c r="I92" i="37" l="1"/>
  <c r="I94" i="37" s="1"/>
  <c r="I130" i="37" s="1"/>
  <c r="I132" i="37" s="1"/>
  <c r="I106" i="37" s="1"/>
  <c r="I108" i="37" s="1"/>
  <c r="I119" i="37" s="1"/>
  <c r="I121" i="37" s="1"/>
  <c r="I84" i="20"/>
  <c r="I84" i="19"/>
  <c r="I92" i="20" l="1"/>
  <c r="I94" i="20" s="1"/>
  <c r="I130" i="20" s="1"/>
  <c r="I132" i="20" s="1"/>
  <c r="I106" i="20" s="1"/>
  <c r="I108" i="20" s="1"/>
  <c r="I119" i="20" s="1"/>
  <c r="I121" i="20" s="1"/>
  <c r="I92" i="19"/>
  <c r="I94" i="19" s="1"/>
  <c r="I130" i="19" s="1"/>
  <c r="I132" i="19" s="1"/>
  <c r="I106" i="19" s="1"/>
  <c r="I108" i="19" s="1"/>
  <c r="I119" i="19" s="1"/>
  <c r="I121" i="19" s="1"/>
  <c r="I123" i="37"/>
  <c r="I112" i="37"/>
  <c r="I111" i="37"/>
  <c r="I113" i="37"/>
  <c r="I112" i="19" l="1"/>
  <c r="I113" i="19"/>
  <c r="I123" i="19"/>
  <c r="I111" i="19"/>
  <c r="I114" i="19" s="1"/>
  <c r="I133" i="19" s="1"/>
  <c r="I134" i="19" s="1"/>
  <c r="H3" i="18" s="1"/>
  <c r="I114" i="37"/>
  <c r="I133" i="37" s="1"/>
  <c r="I134" i="37" s="1"/>
  <c r="H7" i="18" s="1"/>
  <c r="I113" i="20"/>
  <c r="I123" i="20"/>
  <c r="I111" i="20"/>
  <c r="I112" i="20"/>
  <c r="I3" i="18" l="1"/>
  <c r="J3" i="18"/>
  <c r="I7" i="18"/>
  <c r="J7" i="18"/>
  <c r="I114" i="20"/>
  <c r="I133" i="20" s="1"/>
  <c r="I134" i="20" s="1"/>
  <c r="D11" i="44" l="1"/>
  <c r="E11" i="44" s="1"/>
  <c r="G25" i="44"/>
  <c r="H25" i="44" s="1"/>
  <c r="D17" i="44"/>
  <c r="D10" i="44"/>
  <c r="E10" i="44" s="1"/>
  <c r="D9" i="44"/>
  <c r="E9" i="44" s="1"/>
  <c r="D8" i="44"/>
  <c r="E8" i="44" s="1"/>
  <c r="D18" i="44"/>
  <c r="G26" i="44"/>
  <c r="H26" i="44" s="1"/>
  <c r="D7" i="44"/>
  <c r="E7" i="44" s="1"/>
  <c r="D16" i="44"/>
  <c r="E16" i="44" s="1"/>
  <c r="K3" i="18"/>
  <c r="K7" i="18"/>
  <c r="F14" i="18" l="1"/>
  <c r="H14" i="18" s="1"/>
  <c r="F9" i="44"/>
  <c r="F23" i="18"/>
  <c r="H23" i="18" s="1"/>
  <c r="I26" i="44"/>
  <c r="F15" i="18"/>
  <c r="H15" i="18" s="1"/>
  <c r="F10" i="44"/>
  <c r="E17" i="44"/>
  <c r="F19" i="18" s="1"/>
  <c r="H19" i="18" s="1"/>
  <c r="F13" i="18"/>
  <c r="H13" i="18" s="1"/>
  <c r="F8" i="44"/>
  <c r="F22" i="18"/>
  <c r="H22" i="18" s="1"/>
  <c r="I25" i="44"/>
  <c r="E18" i="44"/>
  <c r="F20" i="18" s="1"/>
  <c r="H20" i="18" s="1"/>
  <c r="F18" i="18"/>
  <c r="H18" i="18" s="1"/>
  <c r="F16" i="44"/>
  <c r="F12" i="18"/>
  <c r="H12" i="18" s="1"/>
  <c r="F7" i="44"/>
  <c r="F16" i="18"/>
  <c r="H16" i="18" s="1"/>
  <c r="F11" i="44"/>
  <c r="F17" i="44" l="1"/>
  <c r="F18" i="44"/>
  <c r="J12" i="18"/>
  <c r="I28" i="44" l="1"/>
  <c r="I30" i="44" s="1"/>
  <c r="K12" i="18"/>
  <c r="K31" i="18" s="1"/>
  <c r="J30" i="18"/>
</calcChain>
</file>

<file path=xl/sharedStrings.xml><?xml version="1.0" encoding="utf-8"?>
<sst xmlns="http://schemas.openxmlformats.org/spreadsheetml/2006/main" count="1395" uniqueCount="396">
  <si>
    <t>Custos Indiretos</t>
  </si>
  <si>
    <t>Lucro</t>
  </si>
  <si>
    <t>A</t>
  </si>
  <si>
    <t>B</t>
  </si>
  <si>
    <t>Adicional de Periculosidade</t>
  </si>
  <si>
    <t>C</t>
  </si>
  <si>
    <t>D</t>
  </si>
  <si>
    <t>E</t>
  </si>
  <si>
    <t>F</t>
  </si>
  <si>
    <t>G</t>
  </si>
  <si>
    <t>2.1</t>
  </si>
  <si>
    <t>2.2</t>
  </si>
  <si>
    <t>SESC ou SESI</t>
  </si>
  <si>
    <t>H</t>
  </si>
  <si>
    <t>2.3</t>
  </si>
  <si>
    <t>Benefícios Mensais e Diários</t>
  </si>
  <si>
    <t>Incidência do FGTS sobre o Aviso Prévio Indenizado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</si>
  <si>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</si>
  <si>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</si>
  <si>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</si>
  <si>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</si>
  <si>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</si>
  <si>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</si>
  <si>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</si>
  <si>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Produto</t>
  </si>
  <si>
    <t>Preço Unitário</t>
  </si>
  <si>
    <t>Total Anual</t>
  </si>
  <si>
    <t>Total Geral Anual</t>
  </si>
  <si>
    <t>Parcela Mensal do Uniforme</t>
  </si>
  <si>
    <t>ITEM</t>
  </si>
  <si>
    <t>QTD DE POSTO</t>
  </si>
  <si>
    <t>VALOR MENSAL POR POSTO</t>
  </si>
  <si>
    <t>Tipo de Serviço</t>
  </si>
  <si>
    <t>Unidade de Medida</t>
  </si>
  <si>
    <t>Mão de obra</t>
  </si>
  <si>
    <t>Mão de obra vinculada à execução contratual</t>
  </si>
  <si>
    <t>Classificação Brasileira de Ocupações (CBO)</t>
  </si>
  <si>
    <t>DESCRIÇÃO/
ESPECIFICAÇÃO</t>
  </si>
  <si>
    <t>UNIDADE</t>
  </si>
  <si>
    <t>Posto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</si>
  <si>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</si>
  <si>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</si>
  <si>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</si>
  <si>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</si>
  <si>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</si>
  <si>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</si>
  <si>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Quantidade total a contratar de Funcionários</t>
  </si>
  <si>
    <t>1. MÓDULOS</t>
  </si>
  <si>
    <t>Dados para composição dos custos referentes à mão-de-obra</t>
  </si>
  <si>
    <t>Tipo de serviço (mesmo serviço com características distintas)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</si>
  <si>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</si>
  <si>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</si>
  <si>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</si>
  <si>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</si>
  <si>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</si>
  <si>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</si>
  <si>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</si>
  <si>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</si>
  <si>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Insalubridade</t>
  </si>
  <si>
    <t xml:space="preserve">Intervalo Intrajornada </t>
  </si>
  <si>
    <t xml:space="preserve">DSR/Intervalo Intrajornada </t>
  </si>
  <si>
    <t>TOTAL DO MÓDULO 1</t>
  </si>
  <si>
    <t>MÓDULO 2 – ENCARGOS E BENEFÍCIOS ANUAIS, MENSAIS E DIÁRIOS</t>
  </si>
  <si>
    <t>Submódulo 2.1 - 13º Salário, 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</si>
  <si>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</si>
  <si>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</si>
  <si>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</si>
  <si>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</si>
  <si>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</si>
  <si>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</si>
  <si>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</si>
  <si>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</si>
  <si>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</si>
  <si>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</si>
  <si>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</si>
  <si>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</si>
  <si>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</si>
  <si>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</si>
  <si>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13º Salário, Férias e Adicional de Férias</t>
  </si>
  <si>
    <t>GPS, FGTS e Outras Contribuições</t>
  </si>
  <si>
    <t>TOTAL DO MÓDULO 2</t>
  </si>
  <si>
    <t>MÓDULO 3 – PROVISÃO PARA RESCISÃO</t>
  </si>
  <si>
    <t>PROVISÃO PARA RESCISÃO</t>
  </si>
  <si>
    <t>Incidência de GPS, FGTS e outras contribuições sobre o Aviso Prévio Trabalhado</t>
  </si>
  <si>
    <t>TOTAL DO MÓDULO 3</t>
  </si>
  <si>
    <t>MÓDULO 4 – CUSTO DE REPOSIÇÃO DO PROFISSIONAL AUSENTE</t>
  </si>
  <si>
    <t>TOTAL SUBMÓDULO 4.1</t>
  </si>
  <si>
    <t>Intervalo para Repouso ou Alimentação</t>
  </si>
  <si>
    <t>TOTAL SUBMÓDULO 4.2</t>
  </si>
  <si>
    <t>QUADRO-RESUMO DO MÓDULO 4 - CUSTO DE REPOSIÇÃO DO PROFISSIONAL AUSENTE</t>
  </si>
  <si>
    <t>TOTAL DO MÓDULO 4</t>
  </si>
  <si>
    <t>MÓDULO 5 – INSUMOS DIVERSOS</t>
  </si>
  <si>
    <t>INSUMOS DIVERSOS</t>
  </si>
  <si>
    <t xml:space="preserve">Uniformes </t>
  </si>
  <si>
    <t>TOTAL DO MÓDULO 5</t>
  </si>
  <si>
    <t>MÓDULO 6 – CUSTOS INDIRETOS, TRIBUTOS E LUCRO</t>
  </si>
  <si>
    <t>CUSTOS INDIRETOS, TRIBUTOS E LUCRO</t>
  </si>
  <si>
    <t>TRIBUTOS</t>
  </si>
  <si>
    <t>C.1</t>
  </si>
  <si>
    <t>C.2</t>
  </si>
  <si>
    <t>C.3</t>
  </si>
  <si>
    <t>TOTAL DO MÓDULO 6</t>
  </si>
  <si>
    <t>a)</t>
  </si>
  <si>
    <t>Tributos % = To = .................................................................................................................................................................................................</t>
  </si>
  <si>
    <t>b)</t>
  </si>
  <si>
    <t>(Total dos Módulos 1, 2, 3, 4 e 5+ Custos indiretos + lucro)= Po = ........................................................................................................................................................</t>
  </si>
  <si>
    <t>c)</t>
  </si>
  <si>
    <t>Po / (1 - To) = P1 = ..............................................................................................................................................................................................................................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</si>
  <si>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</si>
  <si>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</si>
  <si>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</si>
  <si>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</si>
  <si>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</si>
  <si>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Quantidade de Postos</t>
  </si>
  <si>
    <t>TOTAL ANUAL POR POSTO</t>
  </si>
  <si>
    <t>Item</t>
  </si>
  <si>
    <t>Quant. Anual</t>
  </si>
  <si>
    <t>CBO</t>
  </si>
  <si>
    <t>PASSAGENS</t>
  </si>
  <si>
    <t>Categoria</t>
  </si>
  <si>
    <t>Vr. Passagem</t>
  </si>
  <si>
    <t>Dias Trab.</t>
  </si>
  <si>
    <t>Vales/dia</t>
  </si>
  <si>
    <t>Total</t>
  </si>
  <si>
    <t>DESCONTO DO VALE</t>
  </si>
  <si>
    <t>Desconto</t>
  </si>
  <si>
    <t>CUSTO DO VALE</t>
  </si>
  <si>
    <t>PASSAGEM</t>
  </si>
  <si>
    <t>DESCONTO</t>
  </si>
  <si>
    <t>TOTAL</t>
  </si>
  <si>
    <t>CATSER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</si>
  <si>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</si>
  <si>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t>MÓD 1 =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</si>
  <si>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</si>
  <si>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</si>
  <si>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</si>
  <si>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Nota 1: Custos Indiretos, Lucro e Tributos por empregado.
Nota 2: O valor referente a tributos é obtido aplicando-se o percentual sobre o valor do faturamento.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</si>
  <si>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</si>
  <si>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t>13 (Décimo-terceiro) salário</t>
    </r>
    <r>
      <rPr>
        <sz val="12"/>
        <color indexed="10"/>
        <rFont val="Calibri"/>
        <family val="2"/>
      </rPr>
      <t xml:space="preserve"> </t>
    </r>
    <r>
      <rPr>
        <sz val="12"/>
        <color theme="1"/>
        <rFont val="Calibri"/>
        <family val="2"/>
        <scheme val="minor"/>
      </rPr>
      <t xml:space="preserve">- </t>
    </r>
    <r>
      <rPr>
        <sz val="12"/>
        <color rgb="FFFF0000"/>
        <rFont val="Calibri"/>
        <family val="2"/>
        <scheme val="minor"/>
      </rPr>
      <t>Obrigatória a cotação de 8,33% sobre o valor do Módulo 1 – Composição da Remuneração, conforme Anexo XII da IN 5/17</t>
    </r>
  </si>
  <si>
    <r>
      <t xml:space="preserve">Nota 1:  Como a planilha de custos e formação de preços é calculada mensalmente, provisiona-se proporcionalmente 1/12 (um doze avos) dos valores referentes à gratificação natalina, férias e adicional de férias.
</t>
    </r>
    <r>
      <rPr>
        <b/>
        <sz val="10"/>
        <color theme="4" tint="-0.249977111117893"/>
        <rFont val="Calibri"/>
        <family val="2"/>
        <scheme val="minor"/>
      </rPr>
      <t>Nota 2: As Férias e o  Adicional de Férias contidos no Submódulo 2.1 correspondem a 9,075% e 3,025%, respectivamente, do Módulo 1, em face do Anexo XII da IN nº 5/2017 exigir 12,10% no somatório de Férias + 1/3 de Férias (9,075% + 3,025%).</t>
    </r>
    <r>
      <rPr>
        <sz val="10"/>
        <rFont val="Calibri"/>
        <family val="2"/>
        <scheme val="minor"/>
      </rPr>
      <t xml:space="preserve">
</t>
    </r>
    <r>
      <rPr>
        <sz val="10"/>
        <color rgb="FFFF0000"/>
        <rFont val="Calibri"/>
        <family val="2"/>
        <scheme val="minor"/>
      </rPr>
      <t>Nota 3: Levando em consideração a vigência contratual inicial de 12 (doze) meses, a rubrica férias tem como objetivo principal suprir a necessidade do pagamento das férias remuneradas ao final do contrato de 12 meses. Esta rubrica, quando da prorrogação contratual, torna-se custo não renovável.</t>
    </r>
  </si>
  <si>
    <r>
      <t>RAT x FAP -</t>
    </r>
    <r>
      <rPr>
        <sz val="12"/>
        <color rgb="FFFF0000"/>
        <rFont val="Calibri"/>
        <family val="2"/>
        <scheme val="minor"/>
      </rPr>
      <t xml:space="preserve"> Cálculo do valor: % do RAT (Riscos Ambientais do Trabalho) x FAP (Fator Acidentário de Prevenção de cada empresa) - </t>
    </r>
    <r>
      <rPr>
        <b/>
        <sz val="12"/>
        <color rgb="FF0070C0"/>
        <rFont val="Calibri"/>
        <family val="2"/>
        <scheme val="minor"/>
      </rPr>
      <t>RAT=3% / FAP= 1%</t>
    </r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</si>
  <si>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</t>
  </si>
  <si>
    <r>
      <t xml:space="preserve">Aviso Prévio Indenizado - </t>
    </r>
    <r>
      <rPr>
        <sz val="12"/>
        <color rgb="FFFF0000"/>
        <rFont val="Calibri"/>
        <family val="2"/>
        <scheme val="minor"/>
      </rPr>
      <t>Cálculo do valor = [Rem/12 + 13º/12 + (Férias + 1/3 Férias)/12] x (30/30=1) x 5% de rotatividade anual - Os reflexos de 13º, F e 1/3F são referentes a 1 mês de APInd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4"/>
        <rFont val="Calibri"/>
        <family val="2"/>
        <scheme val="minor"/>
      </rPr>
      <t>- Na prorrogação, poderão ser considerados 3 dias conforme Lei nº 12.506/2011, dependendo da análise do nº de ocorrências deste evento no período.</t>
    </r>
  </si>
  <si>
    <r>
      <t xml:space="preserve">Aviso Prévio Trabalhado - </t>
    </r>
    <r>
      <rPr>
        <sz val="12"/>
        <color rgb="FFFF0000"/>
        <rFont val="Calibri"/>
        <family val="2"/>
        <scheme val="minor"/>
      </rPr>
      <t xml:space="preserve">Cálculo do valor= [(Rem/30)x7]/12 meses do contratox100% dos empregados - ao final do contrato -  </t>
    </r>
    <r>
      <rPr>
        <sz val="12"/>
        <color rgb="FF0070C0"/>
        <rFont val="Calibri"/>
        <family val="2"/>
        <scheme val="minor"/>
      </rPr>
      <t>Na prorrogação, poderão ser considerados 3 dias conforme Lei nº 12.506/2011, dependendo da análise do nº de ocorrências deste evento no período.</t>
    </r>
  </si>
  <si>
    <r>
      <t xml:space="preserve">Multa do FGTS sobre o Aviso Prévio Trabalhado e sobre o Aviso Prévio Indenizado - </t>
    </r>
    <r>
      <rPr>
        <sz val="12"/>
        <color rgb="FFFF0000"/>
        <rFont val="Calibri"/>
        <family val="2"/>
        <scheme val="minor"/>
      </rPr>
      <t>Obrigatória a cotação de</t>
    </r>
    <r>
      <rPr>
        <sz val="12"/>
        <color rgb="FF0070C0"/>
        <rFont val="Calibri"/>
        <family val="2"/>
        <scheme val="minor"/>
      </rPr>
      <t xml:space="preserve"> 4%</t>
    </r>
    <r>
      <rPr>
        <sz val="12"/>
        <color rgb="FFFF0000"/>
        <rFont val="Calibri"/>
        <family val="2"/>
        <scheme val="minor"/>
      </rPr>
      <t xml:space="preserve"> sobre o valor do Módulo 1 – Composição da Remuneração, conforme Anexo XII da IN Seges nº 5/2017</t>
    </r>
  </si>
  <si>
    <r>
      <rPr>
        <b/>
        <sz val="10"/>
        <color rgb="FF0070C0"/>
        <rFont val="Calibri"/>
        <family val="2"/>
        <scheme val="minor"/>
      </rPr>
      <t>Base de cálculo para o Custo de Reposição do Profissional Ausente (substituto): BCCPA = MÓDULO 1 + MÓDULO 2 (-VA - VT) + MÓDULO 3</t>
    </r>
    <r>
      <rPr>
        <sz val="10"/>
        <rFont val="Calibri"/>
        <family val="2"/>
        <scheme val="minor"/>
      </rPr>
      <t xml:space="preserve"> -</t>
    </r>
    <r>
      <rPr>
        <sz val="10"/>
        <color rgb="FFFF0000"/>
        <rFont val="Calibri"/>
        <family val="2"/>
        <scheme val="minor"/>
      </rPr>
      <t xml:space="preserve"> exceto o Afastamento Maternidade, pois que a Rem e o 13º podem ser compensados pelo INSS,  e que tem cálculo diferenciado, conforme nele consta.</t>
    </r>
  </si>
  <si>
    <r>
      <rPr>
        <b/>
        <sz val="10"/>
        <color rgb="FF0070C0"/>
        <rFont val="Calibri"/>
        <family val="2"/>
        <scheme val="minor"/>
      </rPr>
      <t>MÓD 2</t>
    </r>
    <r>
      <rPr>
        <sz val="10"/>
        <color rgb="FF0070C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(sem VA e VT)</t>
    </r>
    <r>
      <rPr>
        <sz val="10"/>
        <color rgb="FF0070C0"/>
        <rFont val="Calibri"/>
        <family val="2"/>
        <scheme val="minor"/>
      </rPr>
      <t xml:space="preserve"> =</t>
    </r>
  </si>
  <si>
    <t>MÓD 3=</t>
  </si>
  <si>
    <t>BCCPA=</t>
  </si>
  <si>
    <r>
      <rPr>
        <b/>
        <sz val="12"/>
        <color theme="1"/>
        <rFont val="Calibri"/>
        <family val="2"/>
        <scheme val="minor"/>
      </rPr>
      <t>Substituto na cobertura de Ausências Legais</t>
    </r>
    <r>
      <rPr>
        <sz val="12"/>
        <color theme="1"/>
        <rFont val="Calibri"/>
        <family val="2"/>
        <scheme val="minor"/>
      </rPr>
      <t xml:space="preserve">  -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/30)x1dia]/12</t>
    </r>
  </si>
  <si>
    <r>
      <rPr>
        <b/>
        <sz val="12"/>
        <color theme="1"/>
        <rFont val="Calibri"/>
        <family val="2"/>
        <scheme val="minor"/>
      </rPr>
      <t>Substituto na cobertura de Licença Paternidade -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Cálculo do valor = {[(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/30)x5dias]/12}x1,5%</t>
    </r>
  </si>
  <si>
    <r>
      <rPr>
        <b/>
        <sz val="12"/>
        <color theme="1"/>
        <rFont val="Calibri"/>
        <family val="2"/>
        <scheme val="minor"/>
      </rPr>
      <t>Substituto na cobertura de Ausência por Acidente de Trabalho -</t>
    </r>
    <r>
      <rPr>
        <sz val="12"/>
        <color indexed="10"/>
        <rFont val="Calibri"/>
        <family val="2"/>
      </rPr>
      <t xml:space="preserve">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)/30x0,97 dias]/12</t>
    </r>
  </si>
  <si>
    <r>
      <rPr>
        <b/>
        <sz val="12"/>
        <color theme="1"/>
        <rFont val="Calibri"/>
        <family val="2"/>
        <scheme val="minor"/>
      </rPr>
      <t>Substituto na cobertura de Afastamento Maternidade -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Cálculo do valor = [((Férias + Férias / 3) + SUB2.2 x (Férias + Férias / 3)) x (4/12)] x 2% + [(FGTS x Rem + SUB 2.2 x 13º + SUB2.3 – VA – VT + MÓD3) x (4/12)] } x 2% 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</si>
  <si>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theme="1"/>
        <rFont val="Calibri"/>
        <family val="2"/>
        <scheme val="minor"/>
      </rPr>
      <t>Substituto na cobertura de Ausência por doença</t>
    </r>
    <r>
      <rPr>
        <sz val="12"/>
        <color theme="1"/>
        <rFont val="Calibri"/>
        <family val="2"/>
        <scheme val="minor"/>
      </rPr>
      <t xml:space="preserve"> -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)/30)x3dias]/12</t>
    </r>
  </si>
  <si>
    <r>
      <rPr>
        <b/>
        <sz val="12"/>
        <color theme="1"/>
        <rFont val="Calibri"/>
        <family val="2"/>
        <scheme val="minor"/>
      </rPr>
      <t>Substituto na cobertura de Férias</t>
    </r>
    <r>
      <rPr>
        <sz val="12"/>
        <color indexed="8"/>
        <rFont val="Calibri"/>
        <family val="2"/>
      </rPr>
      <t xml:space="preserve"> </t>
    </r>
    <r>
      <rPr>
        <sz val="12"/>
        <color rgb="FFFF0000"/>
        <rFont val="Calibri"/>
        <family val="2"/>
        <scheme val="minor"/>
      </rPr>
      <t>- (1/11) . No segundo ano em diante o empregado trabalha 11 meses e tira férias. = 0,09090 ≈ 9,075% (75% de 12,10)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É obrigatória a adoção da mesma fórmula deste item de custo, pois que na primeira prorrogação de 12 meses as Férias do 2.1.B deverão ser excluidas. Caso contrário, a contratada não disporá de recursos para pagar o substituto a partir da segunda Férias. Ver Acórdãos TCU n.ºs 158/2022 e 436/2022, ambos do Plenário.</t>
    </r>
  </si>
  <si>
    <t>Teresina/PI</t>
  </si>
  <si>
    <r>
      <rPr>
        <sz val="12"/>
        <color indexed="8"/>
        <rFont val="Calibri"/>
        <family val="2"/>
      </rPr>
      <t>Férias e Adicional de Férias</t>
    </r>
    <r>
      <rPr>
        <sz val="12"/>
        <color theme="1"/>
        <rFont val="Calibri"/>
        <family val="2"/>
        <scheme val="minor"/>
      </rPr>
      <t xml:space="preserve"> -  </t>
    </r>
    <r>
      <rPr>
        <sz val="12"/>
        <color rgb="FFFF0000"/>
        <rFont val="Calibri"/>
        <family val="2"/>
        <scheme val="minor"/>
      </rPr>
      <t xml:space="preserve"> Obrigatória a cotação de 12,10% sobre o valor do Módulo 1 - Composição da Remuneração, conforme Anexo XII da IN 5/17 (Férias + Adicional = 12,10% = 9,075% + 3,025%). </t>
    </r>
    <r>
      <rPr>
        <sz val="12"/>
        <color rgb="FF0070C0"/>
        <rFont val="Calibri"/>
        <family val="2"/>
        <scheme val="minor"/>
      </rPr>
      <t xml:space="preserve"> Após os primeiros 12(doze) meses, s</t>
    </r>
    <r>
      <rPr>
        <sz val="12"/>
        <color theme="4" tint="-0.249977111117893"/>
        <rFont val="Calibri"/>
        <family val="2"/>
        <scheme val="minor"/>
      </rPr>
      <t>erá excluído o item Férias (9,075%) em cumprimento da Nota 3, permanecendo somente o Adicional de Férias (3,025%)</t>
    </r>
  </si>
  <si>
    <r>
      <rPr>
        <sz val="12"/>
        <color indexed="8"/>
        <rFont val="Calibri"/>
        <family val="2"/>
      </rPr>
      <t>Férias e Adicional de Férias</t>
    </r>
    <r>
      <rPr>
        <sz val="12"/>
        <color theme="1"/>
        <rFont val="Calibri"/>
        <family val="2"/>
        <scheme val="minor"/>
      </rPr>
      <t xml:space="preserve"> -  </t>
    </r>
    <r>
      <rPr>
        <sz val="12"/>
        <color rgb="FFFF0000"/>
        <rFont val="Calibri"/>
        <family val="2"/>
        <scheme val="minor"/>
      </rPr>
      <t xml:space="preserve"> Obrigatória a cotação de 12,10% sobre o valor do Módulo 1 - Composição da Remuneração, conforme Anexo XII da IN 5/17 (Férias + Adicional = 12,10% = 9,075% + 3,025%).  </t>
    </r>
    <r>
      <rPr>
        <sz val="12"/>
        <color theme="4" tint="-0.249977111117893"/>
        <rFont val="Calibri"/>
        <family val="2"/>
        <scheme val="minor"/>
      </rPr>
      <t>Após os primeiros 12(doze) meses, será excluído o item Férias (9,075%) em cumprimento da Nota 3, permanecendo somente o Adicional de Férias (3,025%)</t>
    </r>
  </si>
  <si>
    <t>PLANILHA DE CUSTOS E FORMAÇÃO DE PREÇOS - SR/PF/PI</t>
  </si>
  <si>
    <t>MATERIAIS E EQUIPAMENTOS</t>
  </si>
  <si>
    <t>Itens</t>
  </si>
  <si>
    <t>Descrição</t>
  </si>
  <si>
    <t>Qte anual</t>
  </si>
  <si>
    <t>Valor proporcional por mês</t>
  </si>
  <si>
    <t>* Aqui a alteração dos valores unitários é livre.</t>
  </si>
  <si>
    <t>EPI's</t>
  </si>
  <si>
    <t>Vida Útil em meses</t>
  </si>
  <si>
    <t>Valor Unitário</t>
  </si>
  <si>
    <t>Pá de bico com cabo de madeira</t>
  </si>
  <si>
    <t>Unidade</t>
  </si>
  <si>
    <t>Par</t>
  </si>
  <si>
    <t>TOTAL DO CUSTO MENSAL COM EPI's</t>
  </si>
  <si>
    <r>
      <rPr>
        <b/>
        <sz val="12"/>
        <color theme="1"/>
        <rFont val="Calibri"/>
        <family val="2"/>
        <scheme val="minor"/>
      </rPr>
      <t xml:space="preserve">PIS - 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(depende do regime de tributação)
</t>
    </r>
    <r>
      <rPr>
        <sz val="12"/>
        <color rgb="FF0070C0"/>
        <rFont val="Calibri"/>
        <family val="2"/>
        <scheme val="minor"/>
      </rPr>
      <t>Os licitantes optantes ou obrigados ao regime não cumulativo do PIS devem cotar a alíquota média, com demonstração</t>
    </r>
  </si>
  <si>
    <r>
      <rPr>
        <b/>
        <sz val="12"/>
        <color theme="1"/>
        <rFont val="Calibri"/>
        <family val="2"/>
        <scheme val="minor"/>
      </rPr>
      <t>COFINS</t>
    </r>
    <r>
      <rPr>
        <sz val="12"/>
        <color theme="1"/>
        <rFont val="Calibri"/>
        <family val="2"/>
        <scheme val="minor"/>
      </rPr>
      <t xml:space="preserve"> -</t>
    </r>
    <r>
      <rPr>
        <sz val="12"/>
        <color rgb="FFFF0000"/>
        <rFont val="Calibri"/>
        <family val="2"/>
        <scheme val="minor"/>
      </rPr>
      <t xml:space="preserve"> (depende do regime de tributação)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Os licitantes optantes ou obrigados ao regime não cumulativo da Cofins devem cotar a alíquota média, com demonstração</t>
    </r>
  </si>
  <si>
    <r>
      <rPr>
        <b/>
        <sz val="12"/>
        <color theme="1"/>
        <rFont val="Calibri"/>
        <family val="2"/>
        <scheme val="minor"/>
      </rPr>
      <t xml:space="preserve">ISS </t>
    </r>
    <r>
      <rPr>
        <b/>
        <sz val="12"/>
        <color rgb="FF0070C0"/>
        <rFont val="Calibri"/>
        <family val="2"/>
        <scheme val="minor"/>
      </rPr>
      <t>-</t>
    </r>
    <r>
      <rPr>
        <sz val="12"/>
        <color rgb="FF0070C0"/>
        <rFont val="Calibri"/>
        <family val="2"/>
        <scheme val="minor"/>
      </rPr>
      <t xml:space="preserve"> Conforme alíquota de Teresina/PI</t>
    </r>
  </si>
  <si>
    <t>Materiais e Ferramentas</t>
  </si>
  <si>
    <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10"/>
        <color rgb="FFFF0000"/>
        <rFont val="Calibri"/>
        <family val="2"/>
        <scheme val="minor"/>
      </rPr>
      <t>Tendo em vista que a CCT não estipula o valor de Auxílio Alimentação, a empresa poderá optar fornecer a refeição conforme o cardápio descrito da Concenção, ou repassar o valor estimado nesta planilha (CLÁUSULA DÉCIMA TERCEIRA).
É obrigatório a empresa fornecer seguro de vida aos colaboradores, devendo prever na planilha valor fixo mensal (CLÁUSULA DÉCIMA SEXTA).</t>
    </r>
  </si>
  <si>
    <t>Auxiliar de Serviços Gerais</t>
  </si>
  <si>
    <t>KG</t>
  </si>
  <si>
    <t>UNID</t>
  </si>
  <si>
    <t>M²</t>
  </si>
  <si>
    <t>PAR</t>
  </si>
  <si>
    <t>FRASCO</t>
  </si>
  <si>
    <t>GALÃO</t>
  </si>
  <si>
    <t>Grupo</t>
  </si>
  <si>
    <t>TOTAL MENSAL ESTIMADO</t>
  </si>
  <si>
    <t>VALOR TOTAL ANUAL ESTIMADO</t>
  </si>
  <si>
    <t>VALOR TOTAL MENSAL ESTIMADO</t>
  </si>
  <si>
    <t>TOTAL ANUAL ESTIMADO</t>
  </si>
  <si>
    <t>** Para os equipamentos utilizou-se como base para deprecição 60 meses e foi rateado pela quantidade de funcionários, os demais considerou-se vida util de um ano. Outras metodologias de cálculo poderão ser adotadas, desde que justificadas.</t>
  </si>
  <si>
    <t>*** Os itens aqui devem ser repostos sempre que necessários.</t>
  </si>
  <si>
    <t>* Os valores acima são preechidos automaticamente após cotação nas demais planilhas.</t>
  </si>
  <si>
    <t>QUADRO RESUMO DA CONTRATAÇÃO</t>
  </si>
  <si>
    <t>Limpeza</t>
  </si>
  <si>
    <t>AVENTAL EM MATERIAL IMPERMEÁVEL aproximadamente 1,20 x 0,70 cm</t>
  </si>
  <si>
    <t>CALÇA DE BRIM COM ELÁSTICO E BOLSO</t>
  </si>
  <si>
    <t>BOTAS EM BORRACHA, COR PRETA, CANO CURTO, SOLADO ANTIDERRAPANTE</t>
  </si>
  <si>
    <t>MEIA DE ALGODÃO CANO LONGO</t>
  </si>
  <si>
    <t>CAMISETAS 100% ALGODÃO</t>
  </si>
  <si>
    <t>LAVADOR DE CARRO</t>
  </si>
  <si>
    <t>LAVADOR DE CARRO (com pagamento de adicional de periculosidade - Teresina/PI)</t>
  </si>
  <si>
    <t>5199-35</t>
  </si>
  <si>
    <t>ESPECIFICAÇÃO</t>
  </si>
  <si>
    <t>QTDE (Estimativa para 12 meses)</t>
  </si>
  <si>
    <t>Vr. Unitário máximo aceitável (R$)</t>
  </si>
  <si>
    <t>Vr. Total máximo aceitável (R$)</t>
  </si>
  <si>
    <t>Serviços de Lavagem de veículos</t>
  </si>
  <si>
    <t>Shampoo para lavagem automotiva biodegradável - 5 litros (galão)</t>
  </si>
  <si>
    <t>Pincel trincha nº 03</t>
  </si>
  <si>
    <t>Escova em nylon para lavagem</t>
  </si>
  <si>
    <t>Flanela 40 X 60cm</t>
  </si>
  <si>
    <t>Odorizador de ar, embalagem frasco com aproximadamente 360 ml</t>
  </si>
  <si>
    <t>Limpa pneu biodegradável - 5 litros (galão)</t>
  </si>
  <si>
    <t>Silicone em gel para uso automotivo aprox. 250g</t>
  </si>
  <si>
    <t>Sabão em barra glicerinado aprox. 200g</t>
  </si>
  <si>
    <t>Luvas em látex para lavadores de veículos</t>
  </si>
  <si>
    <t>Cera pastosa para polimento de veículos aprox. 200g</t>
  </si>
  <si>
    <t>Esfregão para limpeza de carro com absorção</t>
  </si>
  <si>
    <t>Estimativa anual</t>
  </si>
  <si>
    <t>Estimativa mensal</t>
  </si>
  <si>
    <t>* Aqui a alteração dos valores unitários é livre , devendo o licitante ter o valores unitários como máximo aceitável, conforme disposição no Termo de Referência.</t>
  </si>
  <si>
    <t>Desencrustante automotivo liquido, 5L</t>
  </si>
  <si>
    <t>Limpa Baú automotivo, 5L</t>
  </si>
  <si>
    <t>Limpa vidro automotivo 400 ml</t>
  </si>
  <si>
    <t>Pano alvejado em algodão aprox. 70 x 40 CM</t>
  </si>
  <si>
    <t xml:space="preserve">UNIDADE </t>
  </si>
  <si>
    <t>Aspirador de pó bivolt, aprox. 11L, potênica mínima de 1400W</t>
  </si>
  <si>
    <t>Lavadora de pressão tipo KARCHER ou similar bivolt</t>
  </si>
  <si>
    <t>Mangueira de água reforçada, 50 metros, com esguicho e conexões</t>
  </si>
  <si>
    <t>Politriz orbital com alta capacidade de movimento e conexões (mínimo 470w e 220v)</t>
  </si>
  <si>
    <t>Assistência Médica</t>
  </si>
  <si>
    <t>LIMPEZA (THE)</t>
  </si>
  <si>
    <t>5143-05</t>
  </si>
  <si>
    <t>TOTAL DO CUSTO MENSAL COM EQUIPAMENTOS</t>
  </si>
  <si>
    <t>Enceradeira industrial, lava piso, com escovas de 350mm, com no mínimo de 1/2HP</t>
  </si>
  <si>
    <t>Combinado de rodo lavador e raspador aproximadamente 60 cm, multiuso de 25cm para limpeza de vidros c/cabo.</t>
  </si>
  <si>
    <t>Extensão elétrica com 20 metros, fio mínimo de 4,0 mm2 de espessura, com suporte e carretel;</t>
  </si>
  <si>
    <t>PLACA PISO ESCORREGADIO, (MENSAGEM TAMBÉM EM INGLÊS)", TIPO CAVALETE, MATERIAL POLIPROPILENO, DIMENSÕES APROX. 60 X 30 X 5CM</t>
  </si>
  <si>
    <t>Balde de rodas com espremedor, capacidade para 30 litros. Similar ao balde PLE TTS-30lts;</t>
  </si>
  <si>
    <t xml:space="preserve">DESCRIÇÃO </t>
  </si>
  <si>
    <t>MEDIDA</t>
  </si>
  <si>
    <t>Qtde (Estimativa para 12 meses)</t>
  </si>
  <si>
    <t>TOTAL ESTIMADO (MÉDIA)</t>
  </si>
  <si>
    <t>Água sanitária cloro ativo entre 2 e 2,5% embalagem com 1L</t>
  </si>
  <si>
    <t>Álcool concentração miníma 70° INPM (NBR 5591)</t>
  </si>
  <si>
    <t>LITRO</t>
  </si>
  <si>
    <t>Balde plástico 20 litros</t>
  </si>
  <si>
    <t>Desinfetante concentrato, 5L</t>
  </si>
  <si>
    <t>Desodorizador de ar de ambiente spray, fragrância agradável, 400ml</t>
  </si>
  <si>
    <t>Detergente biodegradável, para lavar louça, neutro, 500ml</t>
  </si>
  <si>
    <t>Dispenser para papel toalha</t>
  </si>
  <si>
    <t>Dispenser para sabonete líquido</t>
  </si>
  <si>
    <t>Espanador de nylon</t>
  </si>
  <si>
    <t>Esponja fibra dupla face</t>
  </si>
  <si>
    <t>Estopa, pacote com 1Kg</t>
  </si>
  <si>
    <t>PACOTE</t>
  </si>
  <si>
    <t>Flanela branca, aprox. comprimento 50 Cm, Largura 30 Cm, Cor Branca</t>
  </si>
  <si>
    <t>Limpa vidro, 500ml</t>
  </si>
  <si>
    <t>Limpador multiuso, 500ml</t>
  </si>
  <si>
    <t>Lixeira plástica, aprox. 15 litros, com tampa acionada por pedal</t>
  </si>
  <si>
    <t>Lustra móveis, 200ml</t>
  </si>
  <si>
    <t>Luva multiuso látex</t>
  </si>
  <si>
    <t>Pá de lixo, pequena, em plástico</t>
  </si>
  <si>
    <t>Palha de aço grossa em pacote (aprox. 25g), nº 02</t>
  </si>
  <si>
    <t>Pano de chão, aprox. Comprimento 85 Cm p/ Largura 60 Cm, Características Adicionais Chão, Tipo Saco</t>
  </si>
  <si>
    <t>Papel toalha branco 2 dobras 23x21 cm, pacote com 1000 folhas</t>
  </si>
  <si>
    <t>Rodo de madeira 40cm</t>
  </si>
  <si>
    <t>Sabão em barra, aprox. 200g</t>
  </si>
  <si>
    <t>Sabonete líquido, 5 litros</t>
  </si>
  <si>
    <t>Saco p/ lixo 20 litros, pacote com 100 unidades</t>
  </si>
  <si>
    <t>Vassoura pelo, comprimento cepa: 40cm (aprox)</t>
  </si>
  <si>
    <t>ESTIMATIVA ANUAL</t>
  </si>
  <si>
    <t>ESTIMATIVA MENSAL</t>
  </si>
  <si>
    <t>VR. UNITÁRIA ESTIMADO</t>
  </si>
  <si>
    <t>Serviços de limpeza e conservação no CAU/SR/PF/PI  - Sem Adicional de Periculosidade de 30%</t>
  </si>
  <si>
    <t>Serviço de lavador de carro - Com Adicional de Periculosidade de 30%</t>
  </si>
  <si>
    <t>Desengraxante, 1L</t>
  </si>
  <si>
    <t>Desengripante spray, 300ml</t>
  </si>
  <si>
    <t>Desentupidor de pia</t>
  </si>
  <si>
    <t>Desentupidor de vaso</t>
  </si>
  <si>
    <t>Escova de lavar roupa</t>
  </si>
  <si>
    <t>Filtro aspirador de pó</t>
  </si>
  <si>
    <t>Kit coleta seletiva, cada conjunto é formado por 4 lixeiras, tipo papel, plástico,metal e orgâncio,em polipropileno com tampa basculante, com capacidade mínima de 60 litros</t>
  </si>
  <si>
    <t>CONJUNTO</t>
  </si>
  <si>
    <t>Lixeiras plásticas de,no mínimo, 100 litros para acondicionamento dos sacos plásticos; com tampa acionada por pedal</t>
  </si>
  <si>
    <t>Papel higiênico branco de celulose virgem, folha dupla, 30M, picotado, 100% fibras naturais,sem perfume, fardo c/ 64 rolos</t>
  </si>
  <si>
    <t>FARDO</t>
  </si>
  <si>
    <t>Pedra desinfetante, aprox. 25g</t>
  </si>
  <si>
    <t>Sabão em pó</t>
  </si>
  <si>
    <t>Saco p/ lixo 100 litros, pacote com 100 unidades</t>
  </si>
  <si>
    <t>Saco p/ lixo 50 litros, pacote com 100 unidades</t>
  </si>
  <si>
    <t>Vassoura de palha</t>
  </si>
  <si>
    <t>Vassoura piaçava</t>
  </si>
  <si>
    <t>Vassourinha vaso (escova)</t>
  </si>
  <si>
    <t>Aspiradores de pó (líquido e sólidos), tipo industrial, mínimo de: potência de 1.300w; mangueira de 2,0m e cabo de eletricidade de 5,0m.</t>
  </si>
  <si>
    <t>CARRINHO DE MÃO (60L)</t>
  </si>
  <si>
    <t>MANGUEIRA 1/2 30M COM SUPORTE</t>
  </si>
  <si>
    <t>TESOURA P GRAMA</t>
  </si>
  <si>
    <t>Cortador de grama elétrico 220V; com coletor, potência mínima de 1600W</t>
  </si>
  <si>
    <t>RASTELO COM CABO MADEIRA</t>
  </si>
  <si>
    <t>PLACA "CUIDADO, PISO MOLHADO (MENSAGEM TAMBÉM EM INGLÊS)", TIPO CAVALETE, MATERIAL POLIPROPILENO, DIMENSÕES APROX. 50 X 30 X 5CM</t>
  </si>
  <si>
    <t>PLACA PISO ESCORREGADIO, (MENSAGEM TAMBÉM EM INGLÊS)", TIPO CAVALETE, MATERIAL POLIPROPILENO, DIMENSÕES APROX. 50 X 30 X 5CM</t>
  </si>
  <si>
    <t>PLACA EM MANUTENÇÃO, (MENSAGEM TAMBÉM EM INGLÊS)", TIPO CAVALETE, MATERIAL POLIPROPILENO, DIMENSÕES APROX. 50 X 30 X 5CM</t>
  </si>
  <si>
    <t>PLACA INTERDITADO, (MENSAGEM TAMBÉM EM INGLÊS)", TIPO CAVALETE, MATERIAL POLIPROPILENO, DIMENSÕES APROX. 50 X 30 X 5CM</t>
  </si>
  <si>
    <t>Parnaíba/PI</t>
  </si>
  <si>
    <t>Auxiliar de Serviços Gerais (com pagamento de adicional de periculosidade - Parnaína/PI)</t>
  </si>
  <si>
    <r>
      <t xml:space="preserve">Seguro de Vida - </t>
    </r>
    <r>
      <rPr>
        <sz val="12"/>
        <color rgb="FF0070C0"/>
        <rFont val="Calibri"/>
        <family val="2"/>
        <scheme val="minor"/>
      </rPr>
      <t>Cláusula Décima Terceira da CCT</t>
    </r>
  </si>
  <si>
    <r>
      <t xml:space="preserve">Transporte - </t>
    </r>
    <r>
      <rPr>
        <sz val="12"/>
        <color rgb="FF0070C0"/>
        <rFont val="Calibri"/>
        <family val="2"/>
        <scheme val="minor"/>
      </rPr>
      <t>Cláusula Décima da CCT</t>
    </r>
    <r>
      <rPr>
        <sz val="12"/>
        <color theme="1"/>
        <rFont val="Calibri"/>
        <family val="2"/>
        <scheme val="minor"/>
      </rPr>
      <t xml:space="preserve"> - </t>
    </r>
    <r>
      <rPr>
        <sz val="12"/>
        <color rgb="FFFF0000"/>
        <rFont val="Calibri"/>
        <family val="2"/>
        <scheme val="minor"/>
      </rPr>
      <t>Cálculo do valor: [(4xVTx22) – (6%xSB)]</t>
    </r>
  </si>
  <si>
    <r>
      <t xml:space="preserve">Auxílio Alimentação - </t>
    </r>
    <r>
      <rPr>
        <sz val="12"/>
        <color rgb="FF0070C0"/>
        <rFont val="Calibri"/>
        <family val="2"/>
        <scheme val="minor"/>
      </rPr>
      <t>Cláusula Nona da CCT</t>
    </r>
    <r>
      <rPr>
        <sz val="12"/>
        <color theme="1"/>
        <rFont val="Calibri"/>
        <family val="2"/>
        <scheme val="minor"/>
      </rPr>
      <t xml:space="preserve"> -</t>
    </r>
    <r>
      <rPr>
        <sz val="12"/>
        <color rgb="FFFF0000"/>
        <rFont val="Calibri"/>
        <family val="2"/>
        <scheme val="minor"/>
      </rPr>
      <t xml:space="preserve"> Cálculo do valor = (22xVA)</t>
    </r>
  </si>
  <si>
    <r>
      <t xml:space="preserve">Seguro de Vida - </t>
    </r>
    <r>
      <rPr>
        <sz val="12"/>
        <color rgb="FF0070C0"/>
        <rFont val="Calibri"/>
        <family val="2"/>
        <scheme val="minor"/>
      </rPr>
      <t>Cláusula Décima Quarta da CCT</t>
    </r>
  </si>
  <si>
    <r>
      <t xml:space="preserve">Auxílio Saúde </t>
    </r>
    <r>
      <rPr>
        <sz val="12"/>
        <color theme="4" tint="-0.249977111117893"/>
        <rFont val="Calibri"/>
        <family val="2"/>
        <scheme val="minor"/>
      </rPr>
      <t>- Cláusula Décima Terceira da CCT</t>
    </r>
  </si>
  <si>
    <t>COMPLEMENTO DOS SERVIÇOS DE LIMPEZA E CONSERVAÇÃO</t>
  </si>
  <si>
    <t>PREÇO MENSAL UNITÁRIO POR M² (metro quadrado)</t>
  </si>
  <si>
    <t>PARNAÍBA-PI</t>
  </si>
  <si>
    <t>Mão de obra:</t>
  </si>
  <si>
    <t>Servente</t>
  </si>
  <si>
    <t>Áreas Internas</t>
  </si>
  <si>
    <t>(A) Qtde (área em m2)</t>
  </si>
  <si>
    <t>(1) Produtividade (1/M²)</t>
  </si>
  <si>
    <t>(2) Preço homem/mês (R$)</t>
  </si>
  <si>
    <t>(1x2) Subtotal (R$/M²)</t>
  </si>
  <si>
    <t>Total mensal R$</t>
  </si>
  <si>
    <t>Pisos frios</t>
  </si>
  <si>
    <t>Almoxarifados/galpões</t>
  </si>
  <si>
    <t>Oficinas</t>
  </si>
  <si>
    <t>Áreas com espaços livres - saguão, hall e salão</t>
  </si>
  <si>
    <t>Banheiros</t>
  </si>
  <si>
    <t>Áreas Externas</t>
  </si>
  <si>
    <t xml:space="preserve">Pisos pavimentados adjacentes/contíguos às
edificações </t>
  </si>
  <si>
    <t>Varrição de passeios e arruamentos</t>
  </si>
  <si>
    <t>Pátios e áreas verdes com baixa frequência</t>
  </si>
  <si>
    <t>(2)
Frequência no mês
(horas)</t>
  </si>
  <si>
    <t>(3)
Jornada de trabalho no mês
(horas)</t>
  </si>
  <si>
    <t>(4)
(1x2x3)
Ki****</t>
  </si>
  <si>
    <t>(5) Preço homem/mês (R$)</t>
  </si>
  <si>
    <t>(4x5) Subtotal (R$/M²)</t>
  </si>
  <si>
    <t>face externa sem exposição a situação de risco</t>
  </si>
  <si>
    <t>face interna</t>
  </si>
  <si>
    <t>Total Geral  mensal dos serviços</t>
  </si>
  <si>
    <t>Estimativa mensal dos materiais por demanda</t>
  </si>
  <si>
    <t>Total Geral anual (Serviços e materiais sob demanda)</t>
  </si>
  <si>
    <t>UNIFORME LAVADOR DE CARRO</t>
  </si>
  <si>
    <t>Adicional de Qualificação Profissional</t>
  </si>
  <si>
    <t>Seeacep/2024</t>
  </si>
  <si>
    <t>Seeacep - PI000048/2024</t>
  </si>
  <si>
    <t>FETRAHNORDESTE - PI000114/2024</t>
  </si>
  <si>
    <t>FETRAHNORDESTE/2024</t>
  </si>
  <si>
    <t>Esquadrias</t>
  </si>
  <si>
    <t>UNIFORME LIMPEZA (CAU - DPF)</t>
  </si>
  <si>
    <t>Calculo da Necessidade Delegacia de Parnaíba</t>
  </si>
  <si>
    <t>Áreas Internas:</t>
  </si>
  <si>
    <t>Qtde (m2)</t>
  </si>
  <si>
    <t>Produtividade conforme IN 05/2017-SEGES/MPDG</t>
  </si>
  <si>
    <t>Produtividade adotada</t>
  </si>
  <si>
    <t>Necessidade</t>
  </si>
  <si>
    <t>800 m² a 1200 m2</t>
  </si>
  <si>
    <t>1500 m² a 2500 m2</t>
  </si>
  <si>
    <t>1200 m² a 1800 m2</t>
  </si>
  <si>
    <t>1000 m²a 1500 m2</t>
  </si>
  <si>
    <t>200 m² a 300 m²</t>
  </si>
  <si>
    <t>Áreas Externas:</t>
  </si>
  <si>
    <t>Pisos pavimentados adjacentes/contíguos às edificações</t>
  </si>
  <si>
    <t>1800 m² a 2700 m2</t>
  </si>
  <si>
    <t>6000 m² a 9000m2</t>
  </si>
  <si>
    <t>Esquadrias Externas:</t>
  </si>
  <si>
    <t>300 m² a380 m²</t>
  </si>
  <si>
    <t>Total das áreas</t>
  </si>
  <si>
    <t xml:space="preserve">Nº de Serventes </t>
  </si>
  <si>
    <t>Vr. Unit. mensal (R$/m2)</t>
  </si>
  <si>
    <t>Vr. Total mensal (R$/m2)</t>
  </si>
  <si>
    <t>Vr. total mensal do serviço máximo aceitável (R$)</t>
  </si>
  <si>
    <t>Vr. total anual do serviço máximo aceitável (R$)</t>
  </si>
  <si>
    <t>Materiais sob demanda</t>
  </si>
  <si>
    <t>Serviços de limpeza e conservação na DPF/PHB/PI - Com Adicional de Periculosidade de 30% (CBO 5143-05) (m²)</t>
  </si>
  <si>
    <t>Materiais sob demanda Limpeza CAU/SR/PF/PI</t>
  </si>
  <si>
    <t>Materiais sob demanda Lavador de Carro</t>
  </si>
  <si>
    <t>*</t>
  </si>
  <si>
    <t>Serviços de Carregador   - Com Adicional de Periculosidade de 30%</t>
  </si>
  <si>
    <t>POSTO</t>
  </si>
  <si>
    <t>7832-10</t>
  </si>
  <si>
    <t>UNIFORME CARREGADOR (SR/PF/PI)</t>
  </si>
  <si>
    <t>CARREGADOR</t>
  </si>
  <si>
    <t>,</t>
  </si>
  <si>
    <t>CARREGADOR (com pagamento de adicional de periculosidade - Teresina/PI)</t>
  </si>
  <si>
    <t>CARREGADOR - EPI</t>
  </si>
  <si>
    <t>Carrinho de Transporte Carga 150kg - Roda Maciça</t>
  </si>
  <si>
    <t>Carrinho de Movimentação de Volumes para 500Kg</t>
  </si>
  <si>
    <t>Luvas de vaqueta - Tricotado em fios de poliéster e poliamida, revestida com borracha natural na palma com reforço entre polegar e indicador, com certificado de aprovação (CA)</t>
  </si>
  <si>
    <t>Protetor auricular - material silicone, antialérgico/atóxico, reutilizáveis, com cordão em PVC, com certificado de aprovação (CA)</t>
  </si>
  <si>
    <t xml:space="preserve">Protetor lombar - cinta lombar com suspensório ajustável, com fechos e ajuste em velcro, hastes pláticas de sustentação internas, com certificado de aprovação (CA) </t>
  </si>
  <si>
    <t>Óculos de segurança - armação em polipropileno, lente em policarbonato, antiembaçante, anti-risco,
modelo lestes sobreposição, incolor, contra raios ultravioleta, com encaixe nasal de borracha, com certificado de aprovação (CA)</t>
  </si>
  <si>
    <t>Máscara - tipo peça semifacial, com corpo que conjuga suporte em material plástico rígido e restante da peça facial em elastômetro sintético, laterais com dispositivos plásticos em cada lado onde são fixados filtros químicos e traseira com válvula de inalação, parte central com válvula de exalação, ajustável, com certificado de aprovação (CA)</t>
  </si>
  <si>
    <t>** Para os equipamentos utilizou-se como base para deprecição 60 meses. Outras metodologias de cálculo poderão ser adotadas, desde que justificadas.</t>
  </si>
  <si>
    <t>*A Contratada também deverá ficar responsável por troca em caso de apresentar rasgo ou qualquer tipo de dano que possa prejudicar a proteção do empregado; Para os itens “Luvas de vaqueta” e “Protetor lombar”, entregar as quantidades a cada semestre</t>
  </si>
  <si>
    <t>** Os itens aqui devem ser repostos sempre que necessários.</t>
  </si>
  <si>
    <t>** Para os equipamentos utilizou-se como base para deprecição 60 meses e foi rateado pela quantidade de funcionários, os demais considerou-se vida util de um ano. Outras metodologias de cálculo poderão ser adotadas, desde que justificadas..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</si>
</sst>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 &quot;#,##0.00_);[Red]\(&quot;R$ &quot;#,##0.00\)"/>
    <numFmt numFmtId="166" formatCode="_(* #,##0.00_);_(* \(#,##0.00\);_(* &quot;-&quot;??_);_(@_)"/>
    <numFmt numFmtId="167" formatCode="&quot; &quot;#,##0.00&quot; &quot;;&quot;-&quot;#,##0.00&quot; &quot;;&quot; -&quot;#&quot; &quot;;&quot; &quot;@&quot; &quot;"/>
    <numFmt numFmtId="168" formatCode="&quot; R$ &quot;#,##0.00&quot; &quot;;&quot; R$ (&quot;#,##0.00&quot;)&quot;;&quot; R$ -&quot;#&quot; &quot;;&quot; &quot;@&quot; &quot;"/>
    <numFmt numFmtId="169" formatCode="0.000%"/>
    <numFmt numFmtId="170" formatCode="_-* #,##0_-;\-* #,##0_-;_-* &quot;-&quot;??_-;_-@_-"/>
    <numFmt numFmtId="171" formatCode="&quot;R$&quot;\ #,##0.00;[Red]&quot;R$&quot;\ #,##0.00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0"/>
      <name val="Arial"/>
      <family val="2"/>
    </font>
    <font>
      <b/>
      <sz val="1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10"/>
      <name val="Calibri"/>
      <family val="2"/>
    </font>
    <font>
      <sz val="12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rgb="FF151515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theme="1"/>
      <name val="Times New Roman"/>
      <family val="1"/>
    </font>
    <font>
      <sz val="11"/>
      <color rgb="FF151515"/>
      <name val="Arial"/>
      <family val="2"/>
    </font>
    <font>
      <b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sz val="11"/>
      <color rgb="FF162937"/>
      <name val="Arial"/>
      <family val="2"/>
    </font>
    <font>
      <b/>
      <sz val="11"/>
      <color rgb="FF162937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8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8" applyNumberFormat="0" applyAlignment="0" applyProtection="0"/>
    <xf numFmtId="0" fontId="11" fillId="6" borderId="9" applyNumberFormat="0" applyAlignment="0" applyProtection="0"/>
    <xf numFmtId="0" fontId="12" fillId="6" borderId="8" applyNumberFormat="0" applyAlignment="0" applyProtection="0"/>
    <xf numFmtId="0" fontId="13" fillId="0" borderId="10" applyNumberFormat="0" applyFill="0" applyAlignment="0" applyProtection="0"/>
    <xf numFmtId="0" fontId="14" fillId="7" borderId="11" applyNumberFormat="0" applyAlignment="0" applyProtection="0"/>
    <xf numFmtId="0" fontId="15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1" fillId="0" borderId="0" applyFont="0" applyBorder="0" applyProtection="0"/>
    <xf numFmtId="168" fontId="31" fillId="0" borderId="0" applyFont="0" applyBorder="0" applyProtection="0"/>
    <xf numFmtId="0" fontId="32" fillId="0" borderId="0"/>
    <xf numFmtId="166" fontId="2" fillId="0" borderId="0" applyFont="0" applyFill="0" applyBorder="0" applyAlignment="0" applyProtection="0"/>
  </cellStyleXfs>
  <cellXfs count="447">
    <xf numFmtId="0" fontId="0" fillId="0" borderId="0" xfId="0"/>
    <xf numFmtId="0" fontId="0" fillId="0" borderId="0" xfId="0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37" xfId="0" applyFont="1" applyBorder="1" applyAlignment="1">
      <alignment horizontal="center" vertical="center"/>
    </xf>
    <xf numFmtId="14" fontId="23" fillId="0" borderId="31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4" fontId="23" fillId="0" borderId="26" xfId="0" applyNumberFormat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4" fontId="22" fillId="0" borderId="22" xfId="52" applyFont="1" applyFill="1" applyBorder="1" applyAlignment="1">
      <alignment horizontal="left" vertical="center"/>
    </xf>
    <xf numFmtId="10" fontId="22" fillId="0" borderId="20" xfId="1" applyNumberFormat="1" applyFont="1" applyFill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44" fontId="24" fillId="0" borderId="26" xfId="52" applyFont="1" applyFill="1" applyBorder="1" applyAlignment="1">
      <alignment horizontal="left" vertical="center"/>
    </xf>
    <xf numFmtId="10" fontId="22" fillId="0" borderId="20" xfId="0" applyNumberFormat="1" applyFont="1" applyBorder="1" applyAlignment="1">
      <alignment horizontal="center" vertical="center"/>
    </xf>
    <xf numFmtId="10" fontId="22" fillId="0" borderId="0" xfId="1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0" fontId="24" fillId="0" borderId="24" xfId="0" applyNumberFormat="1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44" fontId="22" fillId="0" borderId="0" xfId="0" applyNumberFormat="1" applyFont="1" applyAlignment="1">
      <alignment vertical="center"/>
    </xf>
    <xf numFmtId="10" fontId="24" fillId="0" borderId="16" xfId="0" applyNumberFormat="1" applyFont="1" applyBorder="1" applyAlignment="1">
      <alignment horizontal="center" vertical="center"/>
    </xf>
    <xf numFmtId="44" fontId="22" fillId="0" borderId="20" xfId="52" applyFont="1" applyFill="1" applyBorder="1" applyAlignment="1">
      <alignment horizontal="center" vertical="center"/>
    </xf>
    <xf numFmtId="44" fontId="22" fillId="0" borderId="0" xfId="52" applyFont="1" applyFill="1" applyBorder="1" applyAlignment="1">
      <alignment vertical="center"/>
    </xf>
    <xf numFmtId="10" fontId="23" fillId="0" borderId="20" xfId="0" applyNumberFormat="1" applyFont="1" applyBorder="1" applyAlignment="1">
      <alignment horizontal="center" vertical="center"/>
    </xf>
    <xf numFmtId="44" fontId="22" fillId="0" borderId="22" xfId="52" applyFont="1" applyFill="1" applyBorder="1" applyAlignment="1">
      <alignment horizontal="center" vertical="center"/>
    </xf>
    <xf numFmtId="10" fontId="23" fillId="0" borderId="20" xfId="1" applyNumberFormat="1" applyFont="1" applyFill="1" applyBorder="1" applyAlignment="1">
      <alignment horizontal="center" vertical="center"/>
    </xf>
    <xf numFmtId="10" fontId="24" fillId="0" borderId="24" xfId="1" applyNumberFormat="1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10" fontId="22" fillId="0" borderId="36" xfId="1" applyNumberFormat="1" applyFont="1" applyFill="1" applyBorder="1" applyAlignment="1">
      <alignment horizontal="center" vertical="center"/>
    </xf>
    <xf numFmtId="2" fontId="22" fillId="0" borderId="33" xfId="0" applyNumberFormat="1" applyFont="1" applyBorder="1" applyAlignment="1">
      <alignment vertical="center"/>
    </xf>
    <xf numFmtId="2" fontId="22" fillId="0" borderId="35" xfId="0" applyNumberFormat="1" applyFont="1" applyBorder="1" applyAlignment="1">
      <alignment vertical="center"/>
    </xf>
    <xf numFmtId="0" fontId="22" fillId="0" borderId="34" xfId="0" applyFont="1" applyBorder="1" applyAlignment="1">
      <alignment vertical="center"/>
    </xf>
    <xf numFmtId="44" fontId="22" fillId="0" borderId="35" xfId="52" applyFont="1" applyFill="1" applyBorder="1" applyAlignment="1">
      <alignment vertical="center"/>
    </xf>
    <xf numFmtId="44" fontId="23" fillId="0" borderId="35" xfId="52" applyFont="1" applyFill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10" fontId="22" fillId="0" borderId="4" xfId="1" applyNumberFormat="1" applyFont="1" applyFill="1" applyBorder="1" applyAlignment="1">
      <alignment vertical="center"/>
    </xf>
    <xf numFmtId="44" fontId="24" fillId="0" borderId="15" xfId="52" applyFont="1" applyFill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44" fontId="24" fillId="0" borderId="22" xfId="52" applyFont="1" applyFill="1" applyBorder="1" applyAlignment="1">
      <alignment horizontal="left" vertical="center"/>
    </xf>
    <xf numFmtId="44" fontId="24" fillId="34" borderId="26" xfId="52" applyFont="1" applyFill="1" applyBorder="1" applyAlignment="1">
      <alignment horizontal="left" vertical="center"/>
    </xf>
    <xf numFmtId="0" fontId="22" fillId="0" borderId="44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44" fontId="22" fillId="0" borderId="0" xfId="52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0" fillId="35" borderId="20" xfId="0" applyFill="1" applyBorder="1" applyAlignment="1">
      <alignment horizontal="center" vertical="center"/>
    </xf>
    <xf numFmtId="44" fontId="28" fillId="35" borderId="20" xfId="0" applyNumberFormat="1" applyFont="1" applyFill="1" applyBorder="1" applyAlignment="1">
      <alignment horizontal="left" vertical="center"/>
    </xf>
    <xf numFmtId="0" fontId="0" fillId="35" borderId="20" xfId="0" applyFill="1" applyBorder="1" applyAlignment="1">
      <alignment horizontal="center" vertical="center" wrapText="1" shrinkToFit="1"/>
    </xf>
    <xf numFmtId="44" fontId="17" fillId="35" borderId="0" xfId="0" applyNumberFormat="1" applyFont="1" applyFill="1" applyAlignment="1">
      <alignment vertical="center"/>
    </xf>
    <xf numFmtId="0" fontId="17" fillId="36" borderId="20" xfId="0" applyFont="1" applyFill="1" applyBorder="1" applyAlignment="1">
      <alignment horizontal="center"/>
    </xf>
    <xf numFmtId="0" fontId="0" fillId="0" borderId="20" xfId="0" applyBorder="1"/>
    <xf numFmtId="43" fontId="0" fillId="0" borderId="20" xfId="53" applyFont="1" applyBorder="1"/>
    <xf numFmtId="166" fontId="0" fillId="0" borderId="20" xfId="0" applyNumberFormat="1" applyBorder="1"/>
    <xf numFmtId="9" fontId="0" fillId="0" borderId="20" xfId="1" applyFont="1" applyBorder="1"/>
    <xf numFmtId="166" fontId="17" fillId="37" borderId="20" xfId="0" applyNumberFormat="1" applyFont="1" applyFill="1" applyBorder="1"/>
    <xf numFmtId="0" fontId="22" fillId="0" borderId="3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justify" vertical="center" wrapText="1"/>
    </xf>
    <xf numFmtId="44" fontId="43" fillId="0" borderId="50" xfId="0" applyNumberFormat="1" applyFont="1" applyBorder="1" applyAlignment="1">
      <alignment horizontal="justify" vertical="center" wrapText="1"/>
    </xf>
    <xf numFmtId="44" fontId="42" fillId="0" borderId="50" xfId="0" applyNumberFormat="1" applyFont="1" applyBorder="1" applyAlignment="1">
      <alignment horizontal="justify" vertical="center" wrapText="1"/>
    </xf>
    <xf numFmtId="44" fontId="0" fillId="0" borderId="27" xfId="0" applyNumberFormat="1" applyBorder="1" applyAlignment="1">
      <alignment horizontal="justify" vertical="center" wrapText="1"/>
    </xf>
    <xf numFmtId="169" fontId="22" fillId="0" borderId="20" xfId="0" applyNumberFormat="1" applyFont="1" applyBorder="1" applyAlignment="1">
      <alignment horizontal="center" vertical="center"/>
    </xf>
    <xf numFmtId="0" fontId="45" fillId="39" borderId="20" xfId="0" applyFont="1" applyFill="1" applyBorder="1" applyAlignment="1">
      <alignment horizontal="left" vertical="center" wrapText="1"/>
    </xf>
    <xf numFmtId="8" fontId="45" fillId="39" borderId="20" xfId="0" applyNumberFormat="1" applyFont="1" applyFill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44" fontId="22" fillId="0" borderId="54" xfId="52" applyFont="1" applyFill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4" fontId="2" fillId="0" borderId="20" xfId="52" applyFont="1" applyBorder="1" applyAlignment="1">
      <alignment horizontal="center" vertical="center"/>
    </xf>
    <xf numFmtId="0" fontId="45" fillId="39" borderId="20" xfId="0" applyFont="1" applyFill="1" applyBorder="1" applyAlignment="1">
      <alignment horizontal="center" vertical="center" wrapText="1"/>
    </xf>
    <xf numFmtId="0" fontId="45" fillId="39" borderId="0" xfId="0" applyFont="1" applyFill="1" applyAlignment="1">
      <alignment horizontal="center" vertical="center"/>
    </xf>
    <xf numFmtId="0" fontId="46" fillId="0" borderId="0" xfId="0" applyFont="1"/>
    <xf numFmtId="0" fontId="47" fillId="39" borderId="20" xfId="0" applyFont="1" applyFill="1" applyBorder="1" applyAlignment="1">
      <alignment horizontal="center" vertical="center"/>
    </xf>
    <xf numFmtId="0" fontId="47" fillId="39" borderId="20" xfId="0" applyFont="1" applyFill="1" applyBorder="1" applyAlignment="1">
      <alignment horizontal="center" vertical="center" wrapText="1"/>
    </xf>
    <xf numFmtId="0" fontId="45" fillId="39" borderId="20" xfId="0" applyFont="1" applyFill="1" applyBorder="1" applyAlignment="1">
      <alignment horizontal="center" vertical="center"/>
    </xf>
    <xf numFmtId="170" fontId="45" fillId="39" borderId="20" xfId="53" applyNumberFormat="1" applyFont="1" applyFill="1" applyBorder="1" applyAlignment="1">
      <alignment vertical="center"/>
    </xf>
    <xf numFmtId="8" fontId="47" fillId="39" borderId="2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8" fontId="45" fillId="39" borderId="0" xfId="0" applyNumberFormat="1" applyFont="1" applyFill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44" fontId="29" fillId="35" borderId="20" xfId="0" applyNumberFormat="1" applyFont="1" applyFill="1" applyBorder="1" applyAlignment="1">
      <alignment horizontal="left" vertical="center"/>
    </xf>
    <xf numFmtId="0" fontId="17" fillId="38" borderId="59" xfId="0" applyFont="1" applyFill="1" applyBorder="1" applyAlignment="1">
      <alignment horizontal="center" vertical="center" wrapText="1"/>
    </xf>
    <xf numFmtId="0" fontId="17" fillId="38" borderId="58" xfId="0" applyFont="1" applyFill="1" applyBorder="1" applyAlignment="1">
      <alignment horizontal="center" vertical="center" wrapText="1"/>
    </xf>
    <xf numFmtId="0" fontId="17" fillId="38" borderId="60" xfId="0" applyFont="1" applyFill="1" applyBorder="1" applyAlignment="1">
      <alignment horizontal="center" vertical="center" wrapText="1"/>
    </xf>
    <xf numFmtId="44" fontId="17" fillId="38" borderId="20" xfId="0" applyNumberFormat="1" applyFont="1" applyFill="1" applyBorder="1" applyAlignment="1">
      <alignment horizontal="left"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17" fillId="36" borderId="20" xfId="0" applyFont="1" applyFill="1" applyBorder="1" applyAlignment="1">
      <alignment horizontal="center"/>
    </xf>
    <xf numFmtId="44" fontId="2" fillId="0" borderId="21" xfId="52" applyFont="1" applyBorder="1" applyAlignment="1">
      <alignment horizontal="center" vertical="center"/>
    </xf>
    <xf numFmtId="44" fontId="20" fillId="0" borderId="4" xfId="52" applyFont="1" applyBorder="1" applyAlignment="1">
      <alignment horizontal="center" vertical="center"/>
    </xf>
    <xf numFmtId="44" fontId="20" fillId="33" borderId="2" xfId="52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50" fillId="42" borderId="20" xfId="47" applyFont="1" applyFill="1" applyBorder="1" applyAlignment="1">
      <alignment horizontal="center" vertical="center" wrapText="1"/>
    </xf>
    <xf numFmtId="0" fontId="50" fillId="42" borderId="21" xfId="47" applyFont="1" applyFill="1" applyBorder="1" applyAlignment="1">
      <alignment horizontal="center" vertical="center" wrapText="1"/>
    </xf>
    <xf numFmtId="166" fontId="50" fillId="42" borderId="20" xfId="57" applyFont="1" applyFill="1" applyBorder="1" applyAlignment="1">
      <alignment horizontal="center" vertical="center" wrapText="1"/>
    </xf>
    <xf numFmtId="0" fontId="51" fillId="42" borderId="20" xfId="0" applyFont="1" applyFill="1" applyBorder="1" applyAlignment="1">
      <alignment horizontal="center" vertical="center" wrapText="1"/>
    </xf>
    <xf numFmtId="0" fontId="52" fillId="0" borderId="38" xfId="0" applyFont="1" applyBorder="1" applyAlignment="1">
      <alignment horizontal="center" vertical="center"/>
    </xf>
    <xf numFmtId="0" fontId="52" fillId="34" borderId="20" xfId="0" applyFont="1" applyFill="1" applyBorder="1" applyAlignment="1">
      <alignment horizontal="left" vertical="center" wrapText="1"/>
    </xf>
    <xf numFmtId="0" fontId="52" fillId="34" borderId="20" xfId="0" applyFont="1" applyFill="1" applyBorder="1" applyAlignment="1">
      <alignment horizontal="center" vertical="center"/>
    </xf>
    <xf numFmtId="44" fontId="52" fillId="0" borderId="20" xfId="52" applyFont="1" applyBorder="1" applyAlignment="1">
      <alignment horizontal="center" vertical="center" wrapText="1"/>
    </xf>
    <xf numFmtId="0" fontId="52" fillId="0" borderId="51" xfId="0" applyFont="1" applyBorder="1" applyAlignment="1">
      <alignment horizontal="center" vertical="center"/>
    </xf>
    <xf numFmtId="0" fontId="52" fillId="35" borderId="20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center" vertical="center"/>
    </xf>
    <xf numFmtId="0" fontId="52" fillId="0" borderId="20" xfId="0" applyFont="1" applyBorder="1" applyAlignment="1">
      <alignment horizontal="left" vertical="center" wrapText="1"/>
    </xf>
    <xf numFmtId="0" fontId="52" fillId="0" borderId="20" xfId="0" applyFont="1" applyBorder="1" applyAlignment="1">
      <alignment horizontal="center" vertical="center"/>
    </xf>
    <xf numFmtId="0" fontId="52" fillId="0" borderId="55" xfId="0" applyFont="1" applyBorder="1" applyAlignment="1">
      <alignment horizontal="center" vertical="center"/>
    </xf>
    <xf numFmtId="44" fontId="51" fillId="42" borderId="20" xfId="52" applyFont="1" applyFill="1" applyBorder="1" applyAlignment="1">
      <alignment horizontal="center" vertical="center" wrapText="1"/>
    </xf>
    <xf numFmtId="44" fontId="51" fillId="42" borderId="20" xfId="0" applyNumberFormat="1" applyFont="1" applyFill="1" applyBorder="1"/>
    <xf numFmtId="8" fontId="22" fillId="0" borderId="22" xfId="52" applyNumberFormat="1" applyFont="1" applyFill="1" applyBorder="1" applyAlignment="1">
      <alignment horizontal="right" vertical="center"/>
    </xf>
    <xf numFmtId="0" fontId="46" fillId="0" borderId="0" xfId="0" applyFont="1" applyAlignment="1">
      <alignment horizontal="center" vertical="center"/>
    </xf>
    <xf numFmtId="0" fontId="53" fillId="39" borderId="20" xfId="0" applyFont="1" applyFill="1" applyBorder="1" applyAlignment="1">
      <alignment horizontal="center" vertical="center"/>
    </xf>
    <xf numFmtId="0" fontId="53" fillId="39" borderId="20" xfId="0" applyFont="1" applyFill="1" applyBorder="1" applyAlignment="1">
      <alignment horizontal="center" vertical="center" wrapText="1"/>
    </xf>
    <xf numFmtId="0" fontId="54" fillId="39" borderId="2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 wrapText="1"/>
    </xf>
    <xf numFmtId="8" fontId="54" fillId="39" borderId="20" xfId="0" applyNumberFormat="1" applyFont="1" applyFill="1" applyBorder="1" applyAlignment="1">
      <alignment horizontal="center" vertical="center"/>
    </xf>
    <xf numFmtId="170" fontId="54" fillId="39" borderId="20" xfId="53" applyNumberFormat="1" applyFont="1" applyFill="1" applyBorder="1" applyAlignment="1">
      <alignment vertical="center"/>
    </xf>
    <xf numFmtId="0" fontId="49" fillId="0" borderId="20" xfId="0" applyFont="1" applyFill="1" applyBorder="1" applyAlignment="1">
      <alignment horizontal="left" vertical="center" wrapText="1"/>
    </xf>
    <xf numFmtId="8" fontId="53" fillId="39" borderId="20" xfId="0" applyNumberFormat="1" applyFont="1" applyFill="1" applyBorder="1" applyAlignment="1">
      <alignment horizontal="center" vertical="center"/>
    </xf>
    <xf numFmtId="0" fontId="28" fillId="0" borderId="20" xfId="0" applyFont="1" applyBorder="1" applyAlignment="1">
      <alignment horizontal="center" vertical="center" wrapText="1"/>
    </xf>
    <xf numFmtId="0" fontId="52" fillId="0" borderId="20" xfId="0" applyFont="1" applyBorder="1" applyAlignment="1">
      <alignment wrapText="1"/>
    </xf>
    <xf numFmtId="171" fontId="52" fillId="0" borderId="20" xfId="0" applyNumberFormat="1" applyFont="1" applyBorder="1" applyAlignment="1">
      <alignment horizontal="center" vertical="center"/>
    </xf>
    <xf numFmtId="0" fontId="52" fillId="34" borderId="20" xfId="0" applyFont="1" applyFill="1" applyBorder="1" applyAlignment="1">
      <alignment wrapText="1"/>
    </xf>
    <xf numFmtId="171" fontId="52" fillId="34" borderId="20" xfId="0" applyNumberFormat="1" applyFont="1" applyFill="1" applyBorder="1" applyAlignment="1">
      <alignment horizontal="center" vertical="center"/>
    </xf>
    <xf numFmtId="0" fontId="52" fillId="0" borderId="20" xfId="0" applyFont="1" applyBorder="1"/>
    <xf numFmtId="0" fontId="52" fillId="34" borderId="20" xfId="0" applyFont="1" applyFill="1" applyBorder="1"/>
    <xf numFmtId="0" fontId="52" fillId="0" borderId="20" xfId="0" applyFont="1" applyBorder="1" applyAlignment="1">
      <alignment vertical="center"/>
    </xf>
    <xf numFmtId="0" fontId="52" fillId="35" borderId="20" xfId="0" applyFont="1" applyFill="1" applyBorder="1"/>
    <xf numFmtId="171" fontId="52" fillId="35" borderId="20" xfId="0" applyNumberFormat="1" applyFont="1" applyFill="1" applyBorder="1" applyAlignment="1">
      <alignment horizontal="center" vertical="center"/>
    </xf>
    <xf numFmtId="0" fontId="52" fillId="35" borderId="20" xfId="0" applyFont="1" applyFill="1" applyBorder="1" applyAlignment="1"/>
    <xf numFmtId="0" fontId="52" fillId="34" borderId="20" xfId="0" applyFont="1" applyFill="1" applyBorder="1" applyAlignment="1"/>
    <xf numFmtId="0" fontId="52" fillId="0" borderId="20" xfId="0" applyFont="1" applyBorder="1" applyAlignment="1"/>
    <xf numFmtId="0" fontId="52" fillId="34" borderId="20" xfId="0" applyFont="1" applyFill="1" applyBorder="1" applyAlignment="1">
      <alignment vertical="center" wrapText="1"/>
    </xf>
    <xf numFmtId="0" fontId="52" fillId="34" borderId="53" xfId="0" applyFont="1" applyFill="1" applyBorder="1" applyAlignment="1">
      <alignment horizontal="center" vertical="center"/>
    </xf>
    <xf numFmtId="171" fontId="52" fillId="34" borderId="53" xfId="0" applyNumberFormat="1" applyFont="1" applyFill="1" applyBorder="1" applyAlignment="1">
      <alignment horizontal="center" vertical="center"/>
    </xf>
    <xf numFmtId="171" fontId="51" fillId="42" borderId="20" xfId="0" applyNumberFormat="1" applyFont="1" applyFill="1" applyBorder="1" applyAlignment="1">
      <alignment horizontal="center" vertical="center"/>
    </xf>
    <xf numFmtId="44" fontId="22" fillId="0" borderId="22" xfId="52" applyFont="1" applyFill="1" applyBorder="1" applyAlignment="1">
      <alignment horizontal="right" vertical="center"/>
    </xf>
    <xf numFmtId="44" fontId="22" fillId="42" borderId="22" xfId="52" applyFont="1" applyFill="1" applyBorder="1" applyAlignment="1">
      <alignment horizontal="left" vertical="center"/>
    </xf>
    <xf numFmtId="10" fontId="22" fillId="42" borderId="20" xfId="0" applyNumberFormat="1" applyFont="1" applyFill="1" applyBorder="1" applyAlignment="1">
      <alignment horizontal="center" vertical="center"/>
    </xf>
    <xf numFmtId="0" fontId="52" fillId="0" borderId="20" xfId="0" applyFont="1" applyBorder="1" applyAlignment="1">
      <alignment vertical="center" wrapText="1"/>
    </xf>
    <xf numFmtId="0" fontId="52" fillId="0" borderId="53" xfId="0" applyFont="1" applyBorder="1" applyAlignment="1">
      <alignment horizontal="center" vertical="center"/>
    </xf>
    <xf numFmtId="171" fontId="52" fillId="0" borderId="53" xfId="0" applyNumberFormat="1" applyFont="1" applyBorder="1" applyAlignment="1">
      <alignment horizontal="center" vertical="center"/>
    </xf>
    <xf numFmtId="0" fontId="52" fillId="0" borderId="53" xfId="0" applyFont="1" applyBorder="1" applyAlignment="1">
      <alignment vertical="center" wrapText="1"/>
    </xf>
    <xf numFmtId="171" fontId="48" fillId="42" borderId="27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20" xfId="0" applyFont="1" applyBorder="1" applyAlignment="1">
      <alignment vertical="center"/>
    </xf>
    <xf numFmtId="0" fontId="55" fillId="0" borderId="20" xfId="0" applyFont="1" applyBorder="1" applyAlignment="1">
      <alignment horizontal="center" vertical="center" wrapText="1"/>
    </xf>
    <xf numFmtId="0" fontId="55" fillId="0" borderId="21" xfId="0" applyFont="1" applyBorder="1" applyAlignment="1">
      <alignment vertical="center"/>
    </xf>
    <xf numFmtId="0" fontId="52" fillId="34" borderId="53" xfId="0" applyFont="1" applyFill="1" applyBorder="1" applyAlignment="1">
      <alignment wrapText="1"/>
    </xf>
    <xf numFmtId="0" fontId="17" fillId="38" borderId="20" xfId="0" applyFont="1" applyFill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5" fillId="39" borderId="20" xfId="0" applyFont="1" applyFill="1" applyBorder="1" applyAlignment="1">
      <alignment horizontal="center" vertical="center" wrapText="1"/>
    </xf>
    <xf numFmtId="0" fontId="17" fillId="38" borderId="20" xfId="0" applyFont="1" applyFill="1" applyBorder="1" applyAlignment="1">
      <alignment horizontal="center" vertical="center"/>
    </xf>
    <xf numFmtId="0" fontId="17" fillId="38" borderId="66" xfId="0" applyFont="1" applyFill="1" applyBorder="1" applyAlignment="1">
      <alignment horizontal="center" vertical="center" wrapText="1"/>
    </xf>
    <xf numFmtId="0" fontId="17" fillId="38" borderId="67" xfId="0" applyFont="1" applyFill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56" fillId="0" borderId="20" xfId="0" applyFont="1" applyBorder="1" applyAlignment="1">
      <alignment horizontal="center" vertical="center" wrapText="1"/>
    </xf>
    <xf numFmtId="0" fontId="55" fillId="0" borderId="20" xfId="0" applyFont="1" applyBorder="1" applyAlignment="1">
      <alignment horizontal="center" vertical="center"/>
    </xf>
    <xf numFmtId="44" fontId="55" fillId="0" borderId="21" xfId="52" applyFont="1" applyBorder="1" applyAlignment="1">
      <alignment horizontal="center" vertical="center"/>
    </xf>
    <xf numFmtId="0" fontId="57" fillId="43" borderId="20" xfId="0" applyFont="1" applyFill="1" applyBorder="1" applyAlignment="1">
      <alignment horizontal="center" vertical="center" wrapText="1"/>
    </xf>
    <xf numFmtId="0" fontId="17" fillId="43" borderId="20" xfId="0" applyFont="1" applyFill="1" applyBorder="1" applyAlignment="1">
      <alignment horizontal="center"/>
    </xf>
    <xf numFmtId="0" fontId="57" fillId="43" borderId="20" xfId="0" applyFont="1" applyFill="1" applyBorder="1" applyAlignment="1">
      <alignment horizontal="center" vertical="center"/>
    </xf>
    <xf numFmtId="0" fontId="57" fillId="44" borderId="20" xfId="0" applyFont="1" applyFill="1" applyBorder="1" applyAlignment="1">
      <alignment horizontal="center" vertical="center" wrapText="1"/>
    </xf>
    <xf numFmtId="0" fontId="57" fillId="44" borderId="21" xfId="0" applyFont="1" applyFill="1" applyBorder="1" applyAlignment="1">
      <alignment horizontal="center" vertical="center" wrapText="1"/>
    </xf>
    <xf numFmtId="0" fontId="57" fillId="44" borderId="20" xfId="0" applyFont="1" applyFill="1" applyBorder="1" applyAlignment="1">
      <alignment horizontal="center" vertical="center"/>
    </xf>
    <xf numFmtId="0" fontId="57" fillId="44" borderId="20" xfId="0" applyFont="1" applyFill="1" applyBorder="1" applyAlignment="1">
      <alignment vertical="center" wrapText="1"/>
    </xf>
    <xf numFmtId="0" fontId="57" fillId="44" borderId="20" xfId="0" applyFont="1" applyFill="1" applyBorder="1" applyAlignment="1">
      <alignment vertical="center"/>
    </xf>
    <xf numFmtId="0" fontId="17" fillId="44" borderId="20" xfId="0" applyFont="1" applyFill="1" applyBorder="1"/>
    <xf numFmtId="0" fontId="58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44" fontId="57" fillId="0" borderId="20" xfId="52" applyFont="1" applyBorder="1" applyAlignment="1">
      <alignment vertical="center"/>
    </xf>
    <xf numFmtId="44" fontId="17" fillId="0" borderId="20" xfId="52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44" fontId="17" fillId="0" borderId="20" xfId="0" applyNumberFormat="1" applyFont="1" applyBorder="1" applyAlignment="1">
      <alignment horizontal="center" vertical="center"/>
    </xf>
    <xf numFmtId="44" fontId="55" fillId="0" borderId="20" xfId="52" applyFont="1" applyBorder="1" applyAlignment="1">
      <alignment horizontal="center" vertical="center"/>
    </xf>
    <xf numFmtId="44" fontId="55" fillId="0" borderId="20" xfId="52" applyNumberFormat="1" applyFont="1" applyBorder="1" applyAlignment="1">
      <alignment horizontal="center" vertical="center" wrapText="1"/>
    </xf>
    <xf numFmtId="44" fontId="55" fillId="0" borderId="20" xfId="52" applyNumberFormat="1" applyFont="1" applyBorder="1" applyAlignment="1">
      <alignment horizontal="center" vertical="center"/>
    </xf>
    <xf numFmtId="0" fontId="17" fillId="45" borderId="0" xfId="0" applyFont="1" applyFill="1" applyAlignment="1">
      <alignment horizontal="center" vertical="center" wrapText="1"/>
    </xf>
    <xf numFmtId="0" fontId="59" fillId="0" borderId="20" xfId="0" applyFont="1" applyBorder="1" applyAlignment="1">
      <alignment horizontal="center" vertical="center" wrapText="1"/>
    </xf>
    <xf numFmtId="0" fontId="59" fillId="0" borderId="20" xfId="0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44" fontId="15" fillId="45" borderId="63" xfId="0" applyNumberFormat="1" applyFont="1" applyFill="1" applyBorder="1" applyAlignment="1">
      <alignment horizontal="center" vertical="center"/>
    </xf>
    <xf numFmtId="0" fontId="17" fillId="38" borderId="28" xfId="0" applyFont="1" applyFill="1" applyBorder="1" applyAlignment="1">
      <alignment horizontal="center" vertical="center"/>
    </xf>
    <xf numFmtId="0" fontId="52" fillId="0" borderId="28" xfId="0" applyFont="1" applyBorder="1" applyAlignment="1">
      <alignment horizontal="center" vertical="center" wrapText="1"/>
    </xf>
    <xf numFmtId="0" fontId="51" fillId="43" borderId="20" xfId="0" applyFont="1" applyFill="1" applyBorder="1" applyAlignment="1">
      <alignment horizontal="center" vertical="center" wrapText="1"/>
    </xf>
    <xf numFmtId="0" fontId="17" fillId="43" borderId="20" xfId="0" applyFont="1" applyFill="1" applyBorder="1" applyAlignment="1">
      <alignment horizontal="center" vertical="center" wrapText="1"/>
    </xf>
    <xf numFmtId="44" fontId="17" fillId="35" borderId="20" xfId="0" applyNumberFormat="1" applyFont="1" applyFill="1" applyBorder="1" applyAlignment="1">
      <alignment vertical="center"/>
    </xf>
    <xf numFmtId="0" fontId="17" fillId="38" borderId="22" xfId="0" applyFont="1" applyFill="1" applyBorder="1" applyAlignment="1">
      <alignment vertical="center"/>
    </xf>
    <xf numFmtId="0" fontId="0" fillId="35" borderId="21" xfId="0" applyFont="1" applyFill="1" applyBorder="1" applyAlignment="1">
      <alignment horizontal="center" vertical="center" wrapText="1" shrinkToFit="1"/>
    </xf>
    <xf numFmtId="0" fontId="17" fillId="35" borderId="20" xfId="0" applyFont="1" applyFill="1" applyBorder="1" applyAlignment="1">
      <alignment horizontal="center" vertical="center" wrapText="1" shrinkToFit="1"/>
    </xf>
    <xf numFmtId="0" fontId="0" fillId="35" borderId="20" xfId="0" applyFont="1" applyFill="1" applyBorder="1" applyAlignment="1">
      <alignment horizontal="center" vertical="center" wrapText="1" shrinkToFit="1"/>
    </xf>
    <xf numFmtId="0" fontId="0" fillId="35" borderId="21" xfId="0" applyFont="1" applyFill="1" applyBorder="1" applyAlignment="1">
      <alignment horizontal="center" vertical="center" wrapText="1"/>
    </xf>
    <xf numFmtId="0" fontId="0" fillId="35" borderId="20" xfId="0" applyFont="1" applyFill="1" applyBorder="1" applyAlignment="1">
      <alignment horizontal="center" vertical="center"/>
    </xf>
    <xf numFmtId="0" fontId="0" fillId="35" borderId="20" xfId="0" applyFont="1" applyFill="1" applyBorder="1" applyAlignment="1">
      <alignment horizontal="center" vertical="center" wrapText="1"/>
    </xf>
    <xf numFmtId="0" fontId="17" fillId="35" borderId="4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20" xfId="0" applyFont="1" applyBorder="1" applyAlignment="1">
      <alignment vertical="center"/>
    </xf>
    <xf numFmtId="0" fontId="46" fillId="0" borderId="20" xfId="0" applyFont="1" applyBorder="1" applyAlignment="1">
      <alignment horizontal="center" vertical="center"/>
    </xf>
    <xf numFmtId="0" fontId="45" fillId="39" borderId="20" xfId="0" applyFont="1" applyFill="1" applyBorder="1" applyAlignment="1">
      <alignment horizontal="center" vertical="center" wrapText="1"/>
    </xf>
    <xf numFmtId="0" fontId="17" fillId="35" borderId="20" xfId="0" applyFont="1" applyFill="1" applyBorder="1" applyAlignment="1">
      <alignment vertical="center" wrapText="1"/>
    </xf>
    <xf numFmtId="0" fontId="17" fillId="35" borderId="20" xfId="0" applyFont="1" applyFill="1" applyBorder="1" applyAlignment="1">
      <alignment horizontal="center" vertical="center" wrapText="1"/>
    </xf>
    <xf numFmtId="7" fontId="17" fillId="35" borderId="45" xfId="0" applyNumberFormat="1" applyFont="1" applyFill="1" applyBorder="1" applyAlignment="1">
      <alignment horizontal="center" vertical="center"/>
    </xf>
    <xf numFmtId="7" fontId="17" fillId="35" borderId="46" xfId="0" applyNumberFormat="1" applyFont="1" applyFill="1" applyBorder="1" applyAlignment="1">
      <alignment horizontal="center" vertical="center"/>
    </xf>
    <xf numFmtId="0" fontId="0" fillId="0" borderId="66" xfId="0" applyFill="1" applyBorder="1"/>
    <xf numFmtId="44" fontId="17" fillId="35" borderId="20" xfId="0" applyNumberFormat="1" applyFont="1" applyFill="1" applyBorder="1" applyAlignment="1">
      <alignment horizontal="center" vertical="center" wrapText="1"/>
    </xf>
    <xf numFmtId="44" fontId="17" fillId="35" borderId="20" xfId="0" applyNumberFormat="1" applyFont="1" applyFill="1" applyBorder="1" applyAlignment="1">
      <alignment horizontal="center" vertical="center"/>
    </xf>
    <xf numFmtId="44" fontId="0" fillId="35" borderId="20" xfId="0" applyNumberFormat="1" applyFont="1" applyFill="1" applyBorder="1" applyAlignment="1">
      <alignment horizontal="center" vertical="center" wrapText="1"/>
    </xf>
    <xf numFmtId="44" fontId="0" fillId="35" borderId="20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170" fontId="45" fillId="39" borderId="20" xfId="53" applyNumberFormat="1" applyFont="1" applyFill="1" applyBorder="1" applyAlignment="1">
      <alignment horizontal="center" vertical="center"/>
    </xf>
    <xf numFmtId="0" fontId="17" fillId="36" borderId="28" xfId="0" applyFont="1" applyFill="1" applyBorder="1" applyAlignment="1">
      <alignment horizontal="center" vertical="center" wrapText="1"/>
    </xf>
    <xf numFmtId="166" fontId="29" fillId="36" borderId="28" xfId="57" applyFont="1" applyFill="1" applyBorder="1" applyAlignment="1">
      <alignment horizontal="center" vertical="center" wrapText="1"/>
    </xf>
    <xf numFmtId="171" fontId="17" fillId="36" borderId="20" xfId="0" applyNumberFormat="1" applyFont="1" applyFill="1" applyBorder="1" applyAlignment="1">
      <alignment horizontal="center" vertical="center"/>
    </xf>
    <xf numFmtId="0" fontId="0" fillId="35" borderId="20" xfId="0" applyFont="1" applyFill="1" applyBorder="1" applyAlignment="1">
      <alignment wrapText="1"/>
    </xf>
    <xf numFmtId="171" fontId="0" fillId="35" borderId="20" xfId="0" applyNumberFormat="1" applyFont="1" applyFill="1" applyBorder="1" applyAlignment="1">
      <alignment horizontal="center" vertical="center"/>
    </xf>
    <xf numFmtId="171" fontId="17" fillId="35" borderId="20" xfId="0" applyNumberFormat="1" applyFont="1" applyFill="1" applyBorder="1" applyAlignment="1">
      <alignment horizontal="center" vertical="center"/>
    </xf>
    <xf numFmtId="0" fontId="0" fillId="35" borderId="2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4" fontId="15" fillId="45" borderId="63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44" fontId="0" fillId="0" borderId="53" xfId="0" applyNumberFormat="1" applyFont="1" applyBorder="1" applyAlignment="1">
      <alignment horizontal="center" vertical="center" wrapText="1"/>
    </xf>
    <xf numFmtId="44" fontId="0" fillId="0" borderId="66" xfId="0" applyNumberFormat="1" applyFont="1" applyBorder="1" applyAlignment="1">
      <alignment horizontal="center" vertical="center" wrapText="1"/>
    </xf>
    <xf numFmtId="44" fontId="0" fillId="0" borderId="28" xfId="0" applyNumberFormat="1" applyFont="1" applyBorder="1" applyAlignment="1">
      <alignment horizontal="center" vertical="center" wrapText="1"/>
    </xf>
    <xf numFmtId="0" fontId="60" fillId="43" borderId="20" xfId="0" applyFont="1" applyFill="1" applyBorder="1" applyAlignment="1">
      <alignment horizontal="center" vertical="center" wrapText="1"/>
    </xf>
    <xf numFmtId="0" fontId="59" fillId="0" borderId="20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66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51" fillId="43" borderId="20" xfId="0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7" fillId="43" borderId="61" xfId="0" applyFont="1" applyFill="1" applyBorder="1" applyAlignment="1">
      <alignment horizontal="center" vertical="center" wrapText="1"/>
    </xf>
    <xf numFmtId="0" fontId="17" fillId="43" borderId="57" xfId="0" applyFont="1" applyFill="1" applyBorder="1" applyAlignment="1">
      <alignment horizontal="center" vertical="center" wrapText="1"/>
    </xf>
    <xf numFmtId="44" fontId="0" fillId="0" borderId="20" xfId="52" applyFont="1" applyBorder="1" applyAlignment="1">
      <alignment horizontal="center" vertical="center" wrapText="1"/>
    </xf>
    <xf numFmtId="44" fontId="0" fillId="0" borderId="20" xfId="0" applyNumberFormat="1" applyBorder="1" applyAlignment="1">
      <alignment horizontal="center" vertical="center" wrapText="1"/>
    </xf>
    <xf numFmtId="44" fontId="0" fillId="0" borderId="21" xfId="0" applyNumberFormat="1" applyBorder="1" applyAlignment="1">
      <alignment horizontal="center" vertical="center" wrapText="1"/>
    </xf>
    <xf numFmtId="44" fontId="0" fillId="0" borderId="46" xfId="0" applyNumberFormat="1" applyBorder="1" applyAlignment="1">
      <alignment horizontal="center" vertical="center" wrapText="1"/>
    </xf>
    <xf numFmtId="0" fontId="52" fillId="43" borderId="21" xfId="0" applyFont="1" applyFill="1" applyBorder="1" applyAlignment="1">
      <alignment horizontal="center" vertical="center" wrapText="1"/>
    </xf>
    <xf numFmtId="0" fontId="52" fillId="43" borderId="45" xfId="0" applyFont="1" applyFill="1" applyBorder="1" applyAlignment="1">
      <alignment horizontal="center" vertical="center" wrapText="1"/>
    </xf>
    <xf numFmtId="0" fontId="52" fillId="43" borderId="46" xfId="0" applyFont="1" applyFill="1" applyBorder="1" applyAlignment="1">
      <alignment horizontal="center" vertical="center" wrapText="1"/>
    </xf>
    <xf numFmtId="0" fontId="17" fillId="35" borderId="20" xfId="0" applyFont="1" applyFill="1" applyBorder="1" applyAlignment="1">
      <alignment horizontal="center" vertical="center" wrapText="1"/>
    </xf>
    <xf numFmtId="0" fontId="17" fillId="35" borderId="21" xfId="0" applyFont="1" applyFill="1" applyBorder="1" applyAlignment="1">
      <alignment horizontal="center" vertical="center" wrapText="1"/>
    </xf>
    <xf numFmtId="0" fontId="17" fillId="35" borderId="45" xfId="0" applyFont="1" applyFill="1" applyBorder="1" applyAlignment="1">
      <alignment horizontal="center" vertical="center" wrapText="1"/>
    </xf>
    <xf numFmtId="0" fontId="17" fillId="35" borderId="46" xfId="0" applyFont="1" applyFill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38" borderId="20" xfId="0" applyFont="1" applyFill="1" applyBorder="1" applyAlignment="1">
      <alignment horizontal="right" vertical="center"/>
    </xf>
    <xf numFmtId="44" fontId="17" fillId="0" borderId="53" xfId="0" applyNumberFormat="1" applyFont="1" applyBorder="1" applyAlignment="1">
      <alignment horizontal="center" vertical="center" wrapText="1"/>
    </xf>
    <xf numFmtId="44" fontId="17" fillId="0" borderId="66" xfId="0" applyNumberFormat="1" applyFont="1" applyBorder="1" applyAlignment="1">
      <alignment horizontal="center" vertical="center" wrapText="1"/>
    </xf>
    <xf numFmtId="44" fontId="17" fillId="0" borderId="28" xfId="0" applyNumberFormat="1" applyFont="1" applyBorder="1" applyAlignment="1">
      <alignment horizontal="center" vertical="center" wrapText="1"/>
    </xf>
    <xf numFmtId="0" fontId="0" fillId="35" borderId="21" xfId="0" applyFill="1" applyBorder="1" applyAlignment="1">
      <alignment horizontal="center" vertical="center"/>
    </xf>
    <xf numFmtId="0" fontId="0" fillId="35" borderId="45" xfId="0" applyFill="1" applyBorder="1" applyAlignment="1">
      <alignment horizontal="center" vertical="center"/>
    </xf>
    <xf numFmtId="0" fontId="0" fillId="35" borderId="46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7" fillId="38" borderId="20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2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25" fillId="0" borderId="21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2" fillId="0" borderId="21" xfId="0" applyFont="1" applyBorder="1" applyAlignment="1">
      <alignment horizontal="justify" vertical="center" wrapText="1"/>
    </xf>
    <xf numFmtId="0" fontId="22" fillId="0" borderId="45" xfId="0" applyFont="1" applyBorder="1" applyAlignment="1">
      <alignment horizontal="justify" vertical="center" wrapText="1"/>
    </xf>
    <xf numFmtId="0" fontId="22" fillId="0" borderId="46" xfId="0" applyFont="1" applyBorder="1" applyAlignment="1">
      <alignment horizontal="justify" vertical="center" wrapText="1"/>
    </xf>
    <xf numFmtId="0" fontId="22" fillId="0" borderId="45" xfId="0" applyFont="1" applyBorder="1" applyAlignment="1">
      <alignment horizontal="justify" vertical="center"/>
    </xf>
    <xf numFmtId="0" fontId="22" fillId="0" borderId="46" xfId="0" applyFont="1" applyBorder="1" applyAlignment="1">
      <alignment horizontal="justify" vertical="center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44" fillId="0" borderId="51" xfId="0" applyFont="1" applyBorder="1" applyAlignment="1">
      <alignment horizontal="justify" vertical="center" wrapText="1"/>
    </xf>
    <xf numFmtId="0" fontId="38" fillId="0" borderId="45" xfId="0" applyFont="1" applyBorder="1" applyAlignment="1">
      <alignment horizontal="justify" vertical="center" wrapText="1"/>
    </xf>
    <xf numFmtId="0" fontId="38" fillId="0" borderId="52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34" borderId="1" xfId="0" applyFont="1" applyFill="1" applyBorder="1" applyAlignment="1">
      <alignment horizontal="center" vertical="center"/>
    </xf>
    <xf numFmtId="0" fontId="24" fillId="34" borderId="2" xfId="0" applyFont="1" applyFill="1" applyBorder="1" applyAlignment="1">
      <alignment horizontal="center" vertical="center"/>
    </xf>
    <xf numFmtId="0" fontId="24" fillId="34" borderId="3" xfId="0" applyFont="1" applyFill="1" applyBorder="1" applyAlignment="1">
      <alignment horizontal="center" vertical="center"/>
    </xf>
    <xf numFmtId="0" fontId="23" fillId="0" borderId="21" xfId="0" applyFont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0" fontId="23" fillId="0" borderId="46" xfId="0" applyFont="1" applyBorder="1" applyAlignment="1">
      <alignment horizontal="left" vertical="center"/>
    </xf>
    <xf numFmtId="0" fontId="24" fillId="34" borderId="41" xfId="0" applyFont="1" applyFill="1" applyBorder="1" applyAlignment="1">
      <alignment horizontal="center" vertical="center"/>
    </xf>
    <xf numFmtId="0" fontId="24" fillId="34" borderId="42" xfId="0" applyFont="1" applyFill="1" applyBorder="1" applyAlignment="1">
      <alignment horizontal="center" vertical="center"/>
    </xf>
    <xf numFmtId="0" fontId="24" fillId="34" borderId="43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justify" vertical="center" wrapText="1"/>
    </xf>
    <xf numFmtId="0" fontId="24" fillId="0" borderId="4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3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4" fillId="0" borderId="21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0" fontId="22" fillId="0" borderId="45" xfId="0" applyFont="1" applyBorder="1" applyAlignment="1">
      <alignment vertical="center"/>
    </xf>
    <xf numFmtId="0" fontId="22" fillId="0" borderId="46" xfId="0" applyFont="1" applyBorder="1" applyAlignment="1">
      <alignment vertical="center"/>
    </xf>
    <xf numFmtId="0" fontId="22" fillId="0" borderId="21" xfId="0" applyFont="1" applyBorder="1" applyAlignment="1">
      <alignment horizontal="left" vertical="center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33" fillId="0" borderId="45" xfId="0" applyFont="1" applyBorder="1" applyAlignment="1">
      <alignment horizontal="justify" vertical="center" wrapText="1"/>
    </xf>
    <xf numFmtId="0" fontId="33" fillId="0" borderId="46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3" fillId="0" borderId="25" xfId="0" applyFont="1" applyBorder="1" applyAlignment="1">
      <alignment horizontal="left" vertical="center"/>
    </xf>
    <xf numFmtId="0" fontId="23" fillId="0" borderId="42" xfId="0" applyFont="1" applyBorder="1" applyAlignment="1">
      <alignment horizontal="left" vertical="center"/>
    </xf>
    <xf numFmtId="0" fontId="23" fillId="0" borderId="43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49" xfId="0" applyFont="1" applyBorder="1" applyAlignment="1">
      <alignment horizontal="left" vertical="center"/>
    </xf>
    <xf numFmtId="0" fontId="23" fillId="0" borderId="4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justify" vertical="center"/>
    </xf>
    <xf numFmtId="0" fontId="23" fillId="0" borderId="3" xfId="0" applyFont="1" applyBorder="1" applyAlignment="1">
      <alignment horizontal="justify" vertical="center"/>
    </xf>
    <xf numFmtId="0" fontId="22" fillId="0" borderId="21" xfId="0" applyFont="1" applyBorder="1" applyAlignment="1">
      <alignment horizontal="left" vertical="center" wrapText="1"/>
    </xf>
    <xf numFmtId="0" fontId="22" fillId="0" borderId="45" xfId="0" applyFont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21" fillId="34" borderId="1" xfId="0" applyFont="1" applyFill="1" applyBorder="1" applyAlignment="1">
      <alignment horizontal="center" vertical="center" wrapText="1"/>
    </xf>
    <xf numFmtId="0" fontId="21" fillId="34" borderId="2" xfId="0" applyFont="1" applyFill="1" applyBorder="1" applyAlignment="1">
      <alignment horizontal="center" vertical="center" wrapText="1"/>
    </xf>
    <xf numFmtId="0" fontId="21" fillId="34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36" fillId="0" borderId="32" xfId="0" applyFont="1" applyBorder="1" applyAlignment="1">
      <alignment horizontal="justify" vertical="center" wrapText="1"/>
    </xf>
    <xf numFmtId="0" fontId="0" fillId="0" borderId="36" xfId="0" applyBorder="1" applyAlignment="1">
      <alignment horizontal="justify" vertical="center" wrapText="1"/>
    </xf>
    <xf numFmtId="0" fontId="0" fillId="0" borderId="33" xfId="0" applyBorder="1" applyAlignment="1">
      <alignment horizontal="justify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5" xfId="0" applyBorder="1" applyAlignment="1">
      <alignment horizontal="justify" vertical="center" wrapText="1"/>
    </xf>
    <xf numFmtId="0" fontId="0" fillId="0" borderId="52" xfId="0" applyBorder="1" applyAlignment="1">
      <alignment horizontal="justify" vertical="center" wrapText="1"/>
    </xf>
    <xf numFmtId="0" fontId="45" fillId="39" borderId="21" xfId="0" applyFont="1" applyFill="1" applyBorder="1" applyAlignment="1">
      <alignment horizontal="center" vertical="center" wrapText="1"/>
    </xf>
    <xf numFmtId="0" fontId="45" fillId="39" borderId="45" xfId="0" applyFont="1" applyFill="1" applyBorder="1" applyAlignment="1">
      <alignment horizontal="center" vertical="center" wrapText="1"/>
    </xf>
    <xf numFmtId="0" fontId="45" fillId="39" borderId="46" xfId="0" applyFont="1" applyFill="1" applyBorder="1" applyAlignment="1">
      <alignment horizontal="center" vertical="center" wrapText="1"/>
    </xf>
    <xf numFmtId="0" fontId="45" fillId="39" borderId="61" xfId="0" applyFont="1" applyFill="1" applyBorder="1" applyAlignment="1">
      <alignment horizontal="center" vertical="center" wrapText="1"/>
    </xf>
    <xf numFmtId="0" fontId="45" fillId="39" borderId="56" xfId="0" applyFont="1" applyFill="1" applyBorder="1" applyAlignment="1">
      <alignment horizontal="center" vertical="center" wrapText="1"/>
    </xf>
    <xf numFmtId="0" fontId="45" fillId="39" borderId="57" xfId="0" applyFont="1" applyFill="1" applyBorder="1" applyAlignment="1">
      <alignment horizontal="center" vertical="center" wrapText="1"/>
    </xf>
    <xf numFmtId="0" fontId="45" fillId="39" borderId="63" xfId="0" applyFont="1" applyFill="1" applyBorder="1" applyAlignment="1">
      <alignment horizontal="center" vertical="center" wrapText="1"/>
    </xf>
    <xf numFmtId="0" fontId="45" fillId="39" borderId="0" xfId="0" applyFont="1" applyFill="1" applyBorder="1" applyAlignment="1">
      <alignment horizontal="center" vertical="center" wrapText="1"/>
    </xf>
    <xf numFmtId="0" fontId="45" fillId="39" borderId="64" xfId="0" applyFont="1" applyFill="1" applyBorder="1" applyAlignment="1">
      <alignment horizontal="center" vertical="center" wrapText="1"/>
    </xf>
    <xf numFmtId="0" fontId="45" fillId="39" borderId="62" xfId="0" applyFont="1" applyFill="1" applyBorder="1" applyAlignment="1">
      <alignment horizontal="center" vertical="center" wrapText="1"/>
    </xf>
    <xf numFmtId="0" fontId="45" fillId="39" borderId="39" xfId="0" applyFont="1" applyFill="1" applyBorder="1" applyAlignment="1">
      <alignment horizontal="center" vertical="center" wrapText="1"/>
    </xf>
    <xf numFmtId="0" fontId="45" fillId="39" borderId="40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center" vertical="center"/>
    </xf>
    <xf numFmtId="0" fontId="46" fillId="0" borderId="45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0" fontId="47" fillId="40" borderId="21" xfId="0" applyFont="1" applyFill="1" applyBorder="1" applyAlignment="1">
      <alignment horizontal="center" vertical="center"/>
    </xf>
    <xf numFmtId="0" fontId="47" fillId="40" borderId="45" xfId="0" applyFont="1" applyFill="1" applyBorder="1" applyAlignment="1">
      <alignment horizontal="center" vertical="center"/>
    </xf>
    <xf numFmtId="0" fontId="33" fillId="41" borderId="45" xfId="0" applyFont="1" applyFill="1" applyBorder="1" applyAlignment="1">
      <alignment horizontal="center" vertical="center"/>
    </xf>
    <xf numFmtId="0" fontId="33" fillId="41" borderId="46" xfId="0" applyFont="1" applyFill="1" applyBorder="1" applyAlignment="1">
      <alignment horizontal="center" vertical="center"/>
    </xf>
    <xf numFmtId="0" fontId="53" fillId="40" borderId="21" xfId="0" applyFont="1" applyFill="1" applyBorder="1" applyAlignment="1">
      <alignment horizontal="center" vertical="center"/>
    </xf>
    <xf numFmtId="0" fontId="53" fillId="40" borderId="45" xfId="0" applyFont="1" applyFill="1" applyBorder="1" applyAlignment="1">
      <alignment horizontal="center" vertical="center"/>
    </xf>
    <xf numFmtId="0" fontId="0" fillId="41" borderId="46" xfId="0" applyFont="1" applyFill="1" applyBorder="1" applyAlignment="1">
      <alignment horizontal="center" vertical="center"/>
    </xf>
    <xf numFmtId="0" fontId="45" fillId="39" borderId="39" xfId="0" applyFont="1" applyFill="1" applyBorder="1" applyAlignment="1">
      <alignment horizontal="center" vertical="center"/>
    </xf>
    <xf numFmtId="49" fontId="50" fillId="42" borderId="21" xfId="47" applyNumberFormat="1" applyFont="1" applyFill="1" applyBorder="1" applyAlignment="1">
      <alignment horizontal="right" vertical="center" wrapText="1"/>
    </xf>
    <xf numFmtId="49" fontId="50" fillId="42" borderId="45" xfId="47" applyNumberFormat="1" applyFont="1" applyFill="1" applyBorder="1" applyAlignment="1">
      <alignment horizontal="right" vertical="center" wrapText="1"/>
    </xf>
    <xf numFmtId="49" fontId="50" fillId="42" borderId="46" xfId="47" applyNumberFormat="1" applyFont="1" applyFill="1" applyBorder="1" applyAlignment="1">
      <alignment horizontal="right"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51" fillId="42" borderId="21" xfId="0" applyFont="1" applyFill="1" applyBorder="1" applyAlignment="1">
      <alignment horizontal="right"/>
    </xf>
    <xf numFmtId="0" fontId="51" fillId="42" borderId="45" xfId="0" applyFont="1" applyFill="1" applyBorder="1" applyAlignment="1">
      <alignment horizontal="right"/>
    </xf>
    <xf numFmtId="0" fontId="51" fillId="42" borderId="46" xfId="0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23" fillId="0" borderId="36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5" fillId="39" borderId="20" xfId="0" applyFont="1" applyFill="1" applyBorder="1" applyAlignment="1">
      <alignment horizontal="center" vertical="center" wrapText="1"/>
    </xf>
    <xf numFmtId="0" fontId="51" fillId="42" borderId="20" xfId="0" applyFont="1" applyFill="1" applyBorder="1" applyAlignment="1">
      <alignment horizontal="right" vertical="center"/>
    </xf>
    <xf numFmtId="0" fontId="57" fillId="0" borderId="21" xfId="0" applyFont="1" applyBorder="1" applyAlignment="1">
      <alignment horizontal="right" vertical="center"/>
    </xf>
    <xf numFmtId="0" fontId="57" fillId="0" borderId="45" xfId="0" applyFont="1" applyBorder="1" applyAlignment="1">
      <alignment horizontal="right" vertical="center"/>
    </xf>
    <xf numFmtId="0" fontId="57" fillId="0" borderId="46" xfId="0" applyFont="1" applyBorder="1" applyAlignment="1">
      <alignment horizontal="right" vertical="center"/>
    </xf>
    <xf numFmtId="0" fontId="17" fillId="0" borderId="21" xfId="0" applyFont="1" applyBorder="1" applyAlignment="1">
      <alignment horizontal="right"/>
    </xf>
    <xf numFmtId="0" fontId="17" fillId="0" borderId="45" xfId="0" applyFont="1" applyBorder="1" applyAlignment="1">
      <alignment horizontal="right"/>
    </xf>
    <xf numFmtId="0" fontId="17" fillId="0" borderId="46" xfId="0" applyFont="1" applyBorder="1" applyAlignment="1">
      <alignment horizontal="right"/>
    </xf>
    <xf numFmtId="0" fontId="58" fillId="0" borderId="0" xfId="0" applyFont="1" applyAlignment="1">
      <alignment horizontal="left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45" xfId="0" applyFont="1" applyFill="1" applyBorder="1" applyAlignment="1">
      <alignment horizontal="center" vertical="center" wrapText="1"/>
    </xf>
    <xf numFmtId="0" fontId="57" fillId="43" borderId="20" xfId="0" applyFont="1" applyFill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2" fillId="0" borderId="45" xfId="0" applyFont="1" applyBorder="1" applyAlignment="1">
      <alignment horizontal="center" vertical="center" wrapText="1"/>
    </xf>
    <xf numFmtId="0" fontId="52" fillId="0" borderId="46" xfId="0" applyFont="1" applyBorder="1" applyAlignment="1">
      <alignment horizontal="center" vertical="center" wrapText="1"/>
    </xf>
    <xf numFmtId="0" fontId="48" fillId="42" borderId="1" xfId="0" applyFont="1" applyFill="1" applyBorder="1" applyAlignment="1">
      <alignment horizontal="right" vertical="center"/>
    </xf>
    <xf numFmtId="0" fontId="48" fillId="42" borderId="2" xfId="0" applyFont="1" applyFill="1" applyBorder="1" applyAlignment="1">
      <alignment horizontal="right" vertical="center"/>
    </xf>
    <xf numFmtId="0" fontId="48" fillId="42" borderId="65" xfId="0" applyFont="1" applyFill="1" applyBorder="1" applyAlignment="1">
      <alignment horizontal="right" vertical="center"/>
    </xf>
    <xf numFmtId="0" fontId="0" fillId="0" borderId="56" xfId="0" applyBorder="1" applyAlignment="1">
      <alignment horizontal="center" wrapText="1"/>
    </xf>
    <xf numFmtId="0" fontId="17" fillId="35" borderId="21" xfId="0" applyFont="1" applyFill="1" applyBorder="1" applyAlignment="1">
      <alignment horizontal="right" vertical="center"/>
    </xf>
    <xf numFmtId="0" fontId="17" fillId="35" borderId="45" xfId="0" applyFont="1" applyFill="1" applyBorder="1" applyAlignment="1">
      <alignment horizontal="right" vertical="center"/>
    </xf>
    <xf numFmtId="0" fontId="17" fillId="35" borderId="46" xfId="0" applyFont="1" applyFill="1" applyBorder="1" applyAlignment="1">
      <alignment horizontal="right" vertical="center"/>
    </xf>
    <xf numFmtId="0" fontId="17" fillId="41" borderId="1" xfId="0" applyFont="1" applyFill="1" applyBorder="1" applyAlignment="1">
      <alignment horizontal="center" vertical="center"/>
    </xf>
    <xf numFmtId="0" fontId="17" fillId="41" borderId="2" xfId="0" applyFont="1" applyFill="1" applyBorder="1" applyAlignment="1">
      <alignment horizontal="center" vertical="center"/>
    </xf>
    <xf numFmtId="0" fontId="17" fillId="41" borderId="3" xfId="0" applyFont="1" applyFill="1" applyBorder="1" applyAlignment="1">
      <alignment horizontal="center" vertical="center"/>
    </xf>
    <xf numFmtId="0" fontId="17" fillId="36" borderId="21" xfId="0" applyFont="1" applyFill="1" applyBorder="1" applyAlignment="1">
      <alignment horizontal="right" vertical="center"/>
    </xf>
    <xf numFmtId="0" fontId="17" fillId="36" borderId="45" xfId="0" applyFont="1" applyFill="1" applyBorder="1" applyAlignment="1">
      <alignment horizontal="right" vertical="center"/>
    </xf>
    <xf numFmtId="0" fontId="17" fillId="36" borderId="46" xfId="0" applyFont="1" applyFill="1" applyBorder="1" applyAlignment="1">
      <alignment horizontal="right" vertical="center"/>
    </xf>
    <xf numFmtId="0" fontId="17" fillId="36" borderId="21" xfId="0" applyFont="1" applyFill="1" applyBorder="1" applyAlignment="1">
      <alignment horizontal="center"/>
    </xf>
    <xf numFmtId="0" fontId="17" fillId="36" borderId="45" xfId="0" applyFont="1" applyFill="1" applyBorder="1" applyAlignment="1">
      <alignment horizontal="center"/>
    </xf>
    <xf numFmtId="0" fontId="0" fillId="36" borderId="46" xfId="0" applyFill="1" applyBorder="1"/>
    <xf numFmtId="0" fontId="17" fillId="36" borderId="20" xfId="0" applyFont="1" applyFill="1" applyBorder="1" applyAlignment="1">
      <alignment horizontal="center"/>
    </xf>
    <xf numFmtId="0" fontId="17" fillId="36" borderId="46" xfId="0" applyFont="1" applyFill="1" applyBorder="1" applyAlignment="1">
      <alignment horizontal="center"/>
    </xf>
    <xf numFmtId="0" fontId="20" fillId="33" borderId="1" xfId="0" applyFont="1" applyFill="1" applyBorder="1" applyAlignment="1">
      <alignment horizontal="center" vertical="center"/>
    </xf>
    <xf numFmtId="0" fontId="20" fillId="33" borderId="2" xfId="0" applyFont="1" applyFill="1" applyBorder="1" applyAlignment="1">
      <alignment horizontal="center" vertical="center"/>
    </xf>
    <xf numFmtId="0" fontId="20" fillId="33" borderId="3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58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Excel_BuiltIn_Comma" xfId="54" xr:uid="{55B5D36E-A95A-4FAC-B922-D770218B056A}"/>
    <cellStyle name="Moeda" xfId="52" builtinId="4"/>
    <cellStyle name="Moeda 2" xfId="55" xr:uid="{9716853A-AB04-4F0B-9529-83A36B2BF8F4}"/>
    <cellStyle name="Neutro" xfId="12" builtinId="28" customBuiltin="1"/>
    <cellStyle name="Normal" xfId="0" builtinId="0"/>
    <cellStyle name="Normal 2" xfId="47" xr:uid="{00000000-0005-0000-0000-000021000000}"/>
    <cellStyle name="Normal 3" xfId="56" xr:uid="{00000000-0005-0000-0000-00003C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Separador de milhares 3" xfId="57" xr:uid="{19F9E232-4375-4C6E-B749-9F17CD55FAE6}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18068-4415-4EB2-982F-52982F1F1409}">
  <sheetPr>
    <tabColor rgb="FFFFC000"/>
    <pageSetUpPr fitToPage="1"/>
  </sheetPr>
  <dimension ref="A1:L41"/>
  <sheetViews>
    <sheetView tabSelected="1" topLeftCell="D13" zoomScale="126" zoomScaleNormal="126" zoomScaleSheetLayoutView="95" workbookViewId="0">
      <selection activeCell="K31" sqref="K31"/>
    </sheetView>
  </sheetViews>
  <sheetFormatPr defaultRowHeight="15" x14ac:dyDescent="0.25"/>
  <cols>
    <col min="1" max="1" width="7.5703125" style="48" customWidth="1"/>
    <col min="2" max="2" width="11" style="1" customWidth="1"/>
    <col min="3" max="3" width="34.42578125" style="48" customWidth="1"/>
    <col min="4" max="4" width="10.28515625" style="48" customWidth="1"/>
    <col min="5" max="5" width="10" style="48" customWidth="1"/>
    <col min="6" max="6" width="10.140625" style="48" customWidth="1"/>
    <col min="7" max="7" width="11.85546875" style="48" customWidth="1"/>
    <col min="8" max="8" width="14" style="48" customWidth="1"/>
    <col min="9" max="9" width="13.28515625" style="48" customWidth="1"/>
    <col min="10" max="10" width="17" style="48" customWidth="1"/>
    <col min="11" max="11" width="22.7109375" style="48" customWidth="1"/>
    <col min="12" max="12" width="20.7109375" style="48" customWidth="1"/>
    <col min="13" max="13" width="12.42578125" style="48" customWidth="1"/>
    <col min="14" max="258" width="9.140625" style="48"/>
    <col min="259" max="259" width="14.28515625" style="48" customWidth="1"/>
    <col min="260" max="260" width="9.140625" style="48"/>
    <col min="261" max="261" width="15.28515625" style="48" customWidth="1"/>
    <col min="262" max="262" width="11.5703125" style="48" customWidth="1"/>
    <col min="263" max="263" width="12.85546875" style="48" customWidth="1"/>
    <col min="264" max="514" width="9.140625" style="48"/>
    <col min="515" max="515" width="14.28515625" style="48" customWidth="1"/>
    <col min="516" max="516" width="9.140625" style="48"/>
    <col min="517" max="517" width="15.28515625" style="48" customWidth="1"/>
    <col min="518" max="518" width="11.5703125" style="48" customWidth="1"/>
    <col min="519" max="519" width="12.85546875" style="48" customWidth="1"/>
    <col min="520" max="770" width="9.140625" style="48"/>
    <col min="771" max="771" width="14.28515625" style="48" customWidth="1"/>
    <col min="772" max="772" width="9.140625" style="48"/>
    <col min="773" max="773" width="15.28515625" style="48" customWidth="1"/>
    <col min="774" max="774" width="11.5703125" style="48" customWidth="1"/>
    <col min="775" max="775" width="12.85546875" style="48" customWidth="1"/>
    <col min="776" max="1026" width="9.140625" style="48"/>
    <col min="1027" max="1027" width="14.28515625" style="48" customWidth="1"/>
    <col min="1028" max="1028" width="9.140625" style="48"/>
    <col min="1029" max="1029" width="15.28515625" style="48" customWidth="1"/>
    <col min="1030" max="1030" width="11.5703125" style="48" customWidth="1"/>
    <col min="1031" max="1031" width="12.85546875" style="48" customWidth="1"/>
    <col min="1032" max="1282" width="9.140625" style="48"/>
    <col min="1283" max="1283" width="14.28515625" style="48" customWidth="1"/>
    <col min="1284" max="1284" width="9.140625" style="48"/>
    <col min="1285" max="1285" width="15.28515625" style="48" customWidth="1"/>
    <col min="1286" max="1286" width="11.5703125" style="48" customWidth="1"/>
    <col min="1287" max="1287" width="12.85546875" style="48" customWidth="1"/>
    <col min="1288" max="1538" width="9.140625" style="48"/>
    <col min="1539" max="1539" width="14.28515625" style="48" customWidth="1"/>
    <col min="1540" max="1540" width="9.140625" style="48"/>
    <col min="1541" max="1541" width="15.28515625" style="48" customWidth="1"/>
    <col min="1542" max="1542" width="11.5703125" style="48" customWidth="1"/>
    <col min="1543" max="1543" width="12.85546875" style="48" customWidth="1"/>
    <col min="1544" max="1794" width="9.140625" style="48"/>
    <col min="1795" max="1795" width="14.28515625" style="48" customWidth="1"/>
    <col min="1796" max="1796" width="9.140625" style="48"/>
    <col min="1797" max="1797" width="15.28515625" style="48" customWidth="1"/>
    <col min="1798" max="1798" width="11.5703125" style="48" customWidth="1"/>
    <col min="1799" max="1799" width="12.85546875" style="48" customWidth="1"/>
    <col min="1800" max="2050" width="9.140625" style="48"/>
    <col min="2051" max="2051" width="14.28515625" style="48" customWidth="1"/>
    <col min="2052" max="2052" width="9.140625" style="48"/>
    <col min="2053" max="2053" width="15.28515625" style="48" customWidth="1"/>
    <col min="2054" max="2054" width="11.5703125" style="48" customWidth="1"/>
    <col min="2055" max="2055" width="12.85546875" style="48" customWidth="1"/>
    <col min="2056" max="2306" width="9.140625" style="48"/>
    <col min="2307" max="2307" width="14.28515625" style="48" customWidth="1"/>
    <col min="2308" max="2308" width="9.140625" style="48"/>
    <col min="2309" max="2309" width="15.28515625" style="48" customWidth="1"/>
    <col min="2310" max="2310" width="11.5703125" style="48" customWidth="1"/>
    <col min="2311" max="2311" width="12.85546875" style="48" customWidth="1"/>
    <col min="2312" max="2562" width="9.140625" style="48"/>
    <col min="2563" max="2563" width="14.28515625" style="48" customWidth="1"/>
    <col min="2564" max="2564" width="9.140625" style="48"/>
    <col min="2565" max="2565" width="15.28515625" style="48" customWidth="1"/>
    <col min="2566" max="2566" width="11.5703125" style="48" customWidth="1"/>
    <col min="2567" max="2567" width="12.85546875" style="48" customWidth="1"/>
    <col min="2568" max="2818" width="9.140625" style="48"/>
    <col min="2819" max="2819" width="14.28515625" style="48" customWidth="1"/>
    <col min="2820" max="2820" width="9.140625" style="48"/>
    <col min="2821" max="2821" width="15.28515625" style="48" customWidth="1"/>
    <col min="2822" max="2822" width="11.5703125" style="48" customWidth="1"/>
    <col min="2823" max="2823" width="12.85546875" style="48" customWidth="1"/>
    <col min="2824" max="3074" width="9.140625" style="48"/>
    <col min="3075" max="3075" width="14.28515625" style="48" customWidth="1"/>
    <col min="3076" max="3076" width="9.140625" style="48"/>
    <col min="3077" max="3077" width="15.28515625" style="48" customWidth="1"/>
    <col min="3078" max="3078" width="11.5703125" style="48" customWidth="1"/>
    <col min="3079" max="3079" width="12.85546875" style="48" customWidth="1"/>
    <col min="3080" max="3330" width="9.140625" style="48"/>
    <col min="3331" max="3331" width="14.28515625" style="48" customWidth="1"/>
    <col min="3332" max="3332" width="9.140625" style="48"/>
    <col min="3333" max="3333" width="15.28515625" style="48" customWidth="1"/>
    <col min="3334" max="3334" width="11.5703125" style="48" customWidth="1"/>
    <col min="3335" max="3335" width="12.85546875" style="48" customWidth="1"/>
    <col min="3336" max="3586" width="9.140625" style="48"/>
    <col min="3587" max="3587" width="14.28515625" style="48" customWidth="1"/>
    <col min="3588" max="3588" width="9.140625" style="48"/>
    <col min="3589" max="3589" width="15.28515625" style="48" customWidth="1"/>
    <col min="3590" max="3590" width="11.5703125" style="48" customWidth="1"/>
    <col min="3591" max="3591" width="12.85546875" style="48" customWidth="1"/>
    <col min="3592" max="3842" width="9.140625" style="48"/>
    <col min="3843" max="3843" width="14.28515625" style="48" customWidth="1"/>
    <col min="3844" max="3844" width="9.140625" style="48"/>
    <col min="3845" max="3845" width="15.28515625" style="48" customWidth="1"/>
    <col min="3846" max="3846" width="11.5703125" style="48" customWidth="1"/>
    <col min="3847" max="3847" width="12.85546875" style="48" customWidth="1"/>
    <col min="3848" max="4098" width="9.140625" style="48"/>
    <col min="4099" max="4099" width="14.28515625" style="48" customWidth="1"/>
    <col min="4100" max="4100" width="9.140625" style="48"/>
    <col min="4101" max="4101" width="15.28515625" style="48" customWidth="1"/>
    <col min="4102" max="4102" width="11.5703125" style="48" customWidth="1"/>
    <col min="4103" max="4103" width="12.85546875" style="48" customWidth="1"/>
    <col min="4104" max="4354" width="9.140625" style="48"/>
    <col min="4355" max="4355" width="14.28515625" style="48" customWidth="1"/>
    <col min="4356" max="4356" width="9.140625" style="48"/>
    <col min="4357" max="4357" width="15.28515625" style="48" customWidth="1"/>
    <col min="4358" max="4358" width="11.5703125" style="48" customWidth="1"/>
    <col min="4359" max="4359" width="12.85546875" style="48" customWidth="1"/>
    <col min="4360" max="4610" width="9.140625" style="48"/>
    <col min="4611" max="4611" width="14.28515625" style="48" customWidth="1"/>
    <col min="4612" max="4612" width="9.140625" style="48"/>
    <col min="4613" max="4613" width="15.28515625" style="48" customWidth="1"/>
    <col min="4614" max="4614" width="11.5703125" style="48" customWidth="1"/>
    <col min="4615" max="4615" width="12.85546875" style="48" customWidth="1"/>
    <col min="4616" max="4866" width="9.140625" style="48"/>
    <col min="4867" max="4867" width="14.28515625" style="48" customWidth="1"/>
    <col min="4868" max="4868" width="9.140625" style="48"/>
    <col min="4869" max="4869" width="15.28515625" style="48" customWidth="1"/>
    <col min="4870" max="4870" width="11.5703125" style="48" customWidth="1"/>
    <col min="4871" max="4871" width="12.85546875" style="48" customWidth="1"/>
    <col min="4872" max="5122" width="9.140625" style="48"/>
    <col min="5123" max="5123" width="14.28515625" style="48" customWidth="1"/>
    <col min="5124" max="5124" width="9.140625" style="48"/>
    <col min="5125" max="5125" width="15.28515625" style="48" customWidth="1"/>
    <col min="5126" max="5126" width="11.5703125" style="48" customWidth="1"/>
    <col min="5127" max="5127" width="12.85546875" style="48" customWidth="1"/>
    <col min="5128" max="5378" width="9.140625" style="48"/>
    <col min="5379" max="5379" width="14.28515625" style="48" customWidth="1"/>
    <col min="5380" max="5380" width="9.140625" style="48"/>
    <col min="5381" max="5381" width="15.28515625" style="48" customWidth="1"/>
    <col min="5382" max="5382" width="11.5703125" style="48" customWidth="1"/>
    <col min="5383" max="5383" width="12.85546875" style="48" customWidth="1"/>
    <col min="5384" max="5634" width="9.140625" style="48"/>
    <col min="5635" max="5635" width="14.28515625" style="48" customWidth="1"/>
    <col min="5636" max="5636" width="9.140625" style="48"/>
    <col min="5637" max="5637" width="15.28515625" style="48" customWidth="1"/>
    <col min="5638" max="5638" width="11.5703125" style="48" customWidth="1"/>
    <col min="5639" max="5639" width="12.85546875" style="48" customWidth="1"/>
    <col min="5640" max="5890" width="9.140625" style="48"/>
    <col min="5891" max="5891" width="14.28515625" style="48" customWidth="1"/>
    <col min="5892" max="5892" width="9.140625" style="48"/>
    <col min="5893" max="5893" width="15.28515625" style="48" customWidth="1"/>
    <col min="5894" max="5894" width="11.5703125" style="48" customWidth="1"/>
    <col min="5895" max="5895" width="12.85546875" style="48" customWidth="1"/>
    <col min="5896" max="6146" width="9.140625" style="48"/>
    <col min="6147" max="6147" width="14.28515625" style="48" customWidth="1"/>
    <col min="6148" max="6148" width="9.140625" style="48"/>
    <col min="6149" max="6149" width="15.28515625" style="48" customWidth="1"/>
    <col min="6150" max="6150" width="11.5703125" style="48" customWidth="1"/>
    <col min="6151" max="6151" width="12.85546875" style="48" customWidth="1"/>
    <col min="6152" max="6402" width="9.140625" style="48"/>
    <col min="6403" max="6403" width="14.28515625" style="48" customWidth="1"/>
    <col min="6404" max="6404" width="9.140625" style="48"/>
    <col min="6405" max="6405" width="15.28515625" style="48" customWidth="1"/>
    <col min="6406" max="6406" width="11.5703125" style="48" customWidth="1"/>
    <col min="6407" max="6407" width="12.85546875" style="48" customWidth="1"/>
    <col min="6408" max="6658" width="9.140625" style="48"/>
    <col min="6659" max="6659" width="14.28515625" style="48" customWidth="1"/>
    <col min="6660" max="6660" width="9.140625" style="48"/>
    <col min="6661" max="6661" width="15.28515625" style="48" customWidth="1"/>
    <col min="6662" max="6662" width="11.5703125" style="48" customWidth="1"/>
    <col min="6663" max="6663" width="12.85546875" style="48" customWidth="1"/>
    <col min="6664" max="6914" width="9.140625" style="48"/>
    <col min="6915" max="6915" width="14.28515625" style="48" customWidth="1"/>
    <col min="6916" max="6916" width="9.140625" style="48"/>
    <col min="6917" max="6917" width="15.28515625" style="48" customWidth="1"/>
    <col min="6918" max="6918" width="11.5703125" style="48" customWidth="1"/>
    <col min="6919" max="6919" width="12.85546875" style="48" customWidth="1"/>
    <col min="6920" max="7170" width="9.140625" style="48"/>
    <col min="7171" max="7171" width="14.28515625" style="48" customWidth="1"/>
    <col min="7172" max="7172" width="9.140625" style="48"/>
    <col min="7173" max="7173" width="15.28515625" style="48" customWidth="1"/>
    <col min="7174" max="7174" width="11.5703125" style="48" customWidth="1"/>
    <col min="7175" max="7175" width="12.85546875" style="48" customWidth="1"/>
    <col min="7176" max="7426" width="9.140625" style="48"/>
    <col min="7427" max="7427" width="14.28515625" style="48" customWidth="1"/>
    <col min="7428" max="7428" width="9.140625" style="48"/>
    <col min="7429" max="7429" width="15.28515625" style="48" customWidth="1"/>
    <col min="7430" max="7430" width="11.5703125" style="48" customWidth="1"/>
    <col min="7431" max="7431" width="12.85546875" style="48" customWidth="1"/>
    <col min="7432" max="7682" width="9.140625" style="48"/>
    <col min="7683" max="7683" width="14.28515625" style="48" customWidth="1"/>
    <col min="7684" max="7684" width="9.140625" style="48"/>
    <col min="7685" max="7685" width="15.28515625" style="48" customWidth="1"/>
    <col min="7686" max="7686" width="11.5703125" style="48" customWidth="1"/>
    <col min="7687" max="7687" width="12.85546875" style="48" customWidth="1"/>
    <col min="7688" max="7938" width="9.140625" style="48"/>
    <col min="7939" max="7939" width="14.28515625" style="48" customWidth="1"/>
    <col min="7940" max="7940" width="9.140625" style="48"/>
    <col min="7941" max="7941" width="15.28515625" style="48" customWidth="1"/>
    <col min="7942" max="7942" width="11.5703125" style="48" customWidth="1"/>
    <col min="7943" max="7943" width="12.85546875" style="48" customWidth="1"/>
    <col min="7944" max="8194" width="9.140625" style="48"/>
    <col min="8195" max="8195" width="14.28515625" style="48" customWidth="1"/>
    <col min="8196" max="8196" width="9.140625" style="48"/>
    <col min="8197" max="8197" width="15.28515625" style="48" customWidth="1"/>
    <col min="8198" max="8198" width="11.5703125" style="48" customWidth="1"/>
    <col min="8199" max="8199" width="12.85546875" style="48" customWidth="1"/>
    <col min="8200" max="8450" width="9.140625" style="48"/>
    <col min="8451" max="8451" width="14.28515625" style="48" customWidth="1"/>
    <col min="8452" max="8452" width="9.140625" style="48"/>
    <col min="8453" max="8453" width="15.28515625" style="48" customWidth="1"/>
    <col min="8454" max="8454" width="11.5703125" style="48" customWidth="1"/>
    <col min="8455" max="8455" width="12.85546875" style="48" customWidth="1"/>
    <col min="8456" max="8706" width="9.140625" style="48"/>
    <col min="8707" max="8707" width="14.28515625" style="48" customWidth="1"/>
    <col min="8708" max="8708" width="9.140625" style="48"/>
    <col min="8709" max="8709" width="15.28515625" style="48" customWidth="1"/>
    <col min="8710" max="8710" width="11.5703125" style="48" customWidth="1"/>
    <col min="8711" max="8711" width="12.85546875" style="48" customWidth="1"/>
    <col min="8712" max="8962" width="9.140625" style="48"/>
    <col min="8963" max="8963" width="14.28515625" style="48" customWidth="1"/>
    <col min="8964" max="8964" width="9.140625" style="48"/>
    <col min="8965" max="8965" width="15.28515625" style="48" customWidth="1"/>
    <col min="8966" max="8966" width="11.5703125" style="48" customWidth="1"/>
    <col min="8967" max="8967" width="12.85546875" style="48" customWidth="1"/>
    <col min="8968" max="9218" width="9.140625" style="48"/>
    <col min="9219" max="9219" width="14.28515625" style="48" customWidth="1"/>
    <col min="9220" max="9220" width="9.140625" style="48"/>
    <col min="9221" max="9221" width="15.28515625" style="48" customWidth="1"/>
    <col min="9222" max="9222" width="11.5703125" style="48" customWidth="1"/>
    <col min="9223" max="9223" width="12.85546875" style="48" customWidth="1"/>
    <col min="9224" max="9474" width="9.140625" style="48"/>
    <col min="9475" max="9475" width="14.28515625" style="48" customWidth="1"/>
    <col min="9476" max="9476" width="9.140625" style="48"/>
    <col min="9477" max="9477" width="15.28515625" style="48" customWidth="1"/>
    <col min="9478" max="9478" width="11.5703125" style="48" customWidth="1"/>
    <col min="9479" max="9479" width="12.85546875" style="48" customWidth="1"/>
    <col min="9480" max="9730" width="9.140625" style="48"/>
    <col min="9731" max="9731" width="14.28515625" style="48" customWidth="1"/>
    <col min="9732" max="9732" width="9.140625" style="48"/>
    <col min="9733" max="9733" width="15.28515625" style="48" customWidth="1"/>
    <col min="9734" max="9734" width="11.5703125" style="48" customWidth="1"/>
    <col min="9735" max="9735" width="12.85546875" style="48" customWidth="1"/>
    <col min="9736" max="9986" width="9.140625" style="48"/>
    <col min="9987" max="9987" width="14.28515625" style="48" customWidth="1"/>
    <col min="9988" max="9988" width="9.140625" style="48"/>
    <col min="9989" max="9989" width="15.28515625" style="48" customWidth="1"/>
    <col min="9990" max="9990" width="11.5703125" style="48" customWidth="1"/>
    <col min="9991" max="9991" width="12.85546875" style="48" customWidth="1"/>
    <col min="9992" max="10242" width="9.140625" style="48"/>
    <col min="10243" max="10243" width="14.28515625" style="48" customWidth="1"/>
    <col min="10244" max="10244" width="9.140625" style="48"/>
    <col min="10245" max="10245" width="15.28515625" style="48" customWidth="1"/>
    <col min="10246" max="10246" width="11.5703125" style="48" customWidth="1"/>
    <col min="10247" max="10247" width="12.85546875" style="48" customWidth="1"/>
    <col min="10248" max="10498" width="9.140625" style="48"/>
    <col min="10499" max="10499" width="14.28515625" style="48" customWidth="1"/>
    <col min="10500" max="10500" width="9.140625" style="48"/>
    <col min="10501" max="10501" width="15.28515625" style="48" customWidth="1"/>
    <col min="10502" max="10502" width="11.5703125" style="48" customWidth="1"/>
    <col min="10503" max="10503" width="12.85546875" style="48" customWidth="1"/>
    <col min="10504" max="10754" width="9.140625" style="48"/>
    <col min="10755" max="10755" width="14.28515625" style="48" customWidth="1"/>
    <col min="10756" max="10756" width="9.140625" style="48"/>
    <col min="10757" max="10757" width="15.28515625" style="48" customWidth="1"/>
    <col min="10758" max="10758" width="11.5703125" style="48" customWidth="1"/>
    <col min="10759" max="10759" width="12.85546875" style="48" customWidth="1"/>
    <col min="10760" max="11010" width="9.140625" style="48"/>
    <col min="11011" max="11011" width="14.28515625" style="48" customWidth="1"/>
    <col min="11012" max="11012" width="9.140625" style="48"/>
    <col min="11013" max="11013" width="15.28515625" style="48" customWidth="1"/>
    <col min="11014" max="11014" width="11.5703125" style="48" customWidth="1"/>
    <col min="11015" max="11015" width="12.85546875" style="48" customWidth="1"/>
    <col min="11016" max="11266" width="9.140625" style="48"/>
    <col min="11267" max="11267" width="14.28515625" style="48" customWidth="1"/>
    <col min="11268" max="11268" width="9.140625" style="48"/>
    <col min="11269" max="11269" width="15.28515625" style="48" customWidth="1"/>
    <col min="11270" max="11270" width="11.5703125" style="48" customWidth="1"/>
    <col min="11271" max="11271" width="12.85546875" style="48" customWidth="1"/>
    <col min="11272" max="11522" width="9.140625" style="48"/>
    <col min="11523" max="11523" width="14.28515625" style="48" customWidth="1"/>
    <col min="11524" max="11524" width="9.140625" style="48"/>
    <col min="11525" max="11525" width="15.28515625" style="48" customWidth="1"/>
    <col min="11526" max="11526" width="11.5703125" style="48" customWidth="1"/>
    <col min="11527" max="11527" width="12.85546875" style="48" customWidth="1"/>
    <col min="11528" max="11778" width="9.140625" style="48"/>
    <col min="11779" max="11779" width="14.28515625" style="48" customWidth="1"/>
    <col min="11780" max="11780" width="9.140625" style="48"/>
    <col min="11781" max="11781" width="15.28515625" style="48" customWidth="1"/>
    <col min="11782" max="11782" width="11.5703125" style="48" customWidth="1"/>
    <col min="11783" max="11783" width="12.85546875" style="48" customWidth="1"/>
    <col min="11784" max="12034" width="9.140625" style="48"/>
    <col min="12035" max="12035" width="14.28515625" style="48" customWidth="1"/>
    <col min="12036" max="12036" width="9.140625" style="48"/>
    <col min="12037" max="12037" width="15.28515625" style="48" customWidth="1"/>
    <col min="12038" max="12038" width="11.5703125" style="48" customWidth="1"/>
    <col min="12039" max="12039" width="12.85546875" style="48" customWidth="1"/>
    <col min="12040" max="12290" width="9.140625" style="48"/>
    <col min="12291" max="12291" width="14.28515625" style="48" customWidth="1"/>
    <col min="12292" max="12292" width="9.140625" style="48"/>
    <col min="12293" max="12293" width="15.28515625" style="48" customWidth="1"/>
    <col min="12294" max="12294" width="11.5703125" style="48" customWidth="1"/>
    <col min="12295" max="12295" width="12.85546875" style="48" customWidth="1"/>
    <col min="12296" max="12546" width="9.140625" style="48"/>
    <col min="12547" max="12547" width="14.28515625" style="48" customWidth="1"/>
    <col min="12548" max="12548" width="9.140625" style="48"/>
    <col min="12549" max="12549" width="15.28515625" style="48" customWidth="1"/>
    <col min="12550" max="12550" width="11.5703125" style="48" customWidth="1"/>
    <col min="12551" max="12551" width="12.85546875" style="48" customWidth="1"/>
    <col min="12552" max="12802" width="9.140625" style="48"/>
    <col min="12803" max="12803" width="14.28515625" style="48" customWidth="1"/>
    <col min="12804" max="12804" width="9.140625" style="48"/>
    <col min="12805" max="12805" width="15.28515625" style="48" customWidth="1"/>
    <col min="12806" max="12806" width="11.5703125" style="48" customWidth="1"/>
    <col min="12807" max="12807" width="12.85546875" style="48" customWidth="1"/>
    <col min="12808" max="13058" width="9.140625" style="48"/>
    <col min="13059" max="13059" width="14.28515625" style="48" customWidth="1"/>
    <col min="13060" max="13060" width="9.140625" style="48"/>
    <col min="13061" max="13061" width="15.28515625" style="48" customWidth="1"/>
    <col min="13062" max="13062" width="11.5703125" style="48" customWidth="1"/>
    <col min="13063" max="13063" width="12.85546875" style="48" customWidth="1"/>
    <col min="13064" max="13314" width="9.140625" style="48"/>
    <col min="13315" max="13315" width="14.28515625" style="48" customWidth="1"/>
    <col min="13316" max="13316" width="9.140625" style="48"/>
    <col min="13317" max="13317" width="15.28515625" style="48" customWidth="1"/>
    <col min="13318" max="13318" width="11.5703125" style="48" customWidth="1"/>
    <col min="13319" max="13319" width="12.85546875" style="48" customWidth="1"/>
    <col min="13320" max="13570" width="9.140625" style="48"/>
    <col min="13571" max="13571" width="14.28515625" style="48" customWidth="1"/>
    <col min="13572" max="13572" width="9.140625" style="48"/>
    <col min="13573" max="13573" width="15.28515625" style="48" customWidth="1"/>
    <col min="13574" max="13574" width="11.5703125" style="48" customWidth="1"/>
    <col min="13575" max="13575" width="12.85546875" style="48" customWidth="1"/>
    <col min="13576" max="13826" width="9.140625" style="48"/>
    <col min="13827" max="13827" width="14.28515625" style="48" customWidth="1"/>
    <col min="13828" max="13828" width="9.140625" style="48"/>
    <col min="13829" max="13829" width="15.28515625" style="48" customWidth="1"/>
    <col min="13830" max="13830" width="11.5703125" style="48" customWidth="1"/>
    <col min="13831" max="13831" width="12.85546875" style="48" customWidth="1"/>
    <col min="13832" max="14082" width="9.140625" style="48"/>
    <col min="14083" max="14083" width="14.28515625" style="48" customWidth="1"/>
    <col min="14084" max="14084" width="9.140625" style="48"/>
    <col min="14085" max="14085" width="15.28515625" style="48" customWidth="1"/>
    <col min="14086" max="14086" width="11.5703125" style="48" customWidth="1"/>
    <col min="14087" max="14087" width="12.85546875" style="48" customWidth="1"/>
    <col min="14088" max="14338" width="9.140625" style="48"/>
    <col min="14339" max="14339" width="14.28515625" style="48" customWidth="1"/>
    <col min="14340" max="14340" width="9.140625" style="48"/>
    <col min="14341" max="14341" width="15.28515625" style="48" customWidth="1"/>
    <col min="14342" max="14342" width="11.5703125" style="48" customWidth="1"/>
    <col min="14343" max="14343" width="12.85546875" style="48" customWidth="1"/>
    <col min="14344" max="14594" width="9.140625" style="48"/>
    <col min="14595" max="14595" width="14.28515625" style="48" customWidth="1"/>
    <col min="14596" max="14596" width="9.140625" style="48"/>
    <col min="14597" max="14597" width="15.28515625" style="48" customWidth="1"/>
    <col min="14598" max="14598" width="11.5703125" style="48" customWidth="1"/>
    <col min="14599" max="14599" width="12.85546875" style="48" customWidth="1"/>
    <col min="14600" max="14850" width="9.140625" style="48"/>
    <col min="14851" max="14851" width="14.28515625" style="48" customWidth="1"/>
    <col min="14852" max="14852" width="9.140625" style="48"/>
    <col min="14853" max="14853" width="15.28515625" style="48" customWidth="1"/>
    <col min="14854" max="14854" width="11.5703125" style="48" customWidth="1"/>
    <col min="14855" max="14855" width="12.85546875" style="48" customWidth="1"/>
    <col min="14856" max="15106" width="9.140625" style="48"/>
    <col min="15107" max="15107" width="14.28515625" style="48" customWidth="1"/>
    <col min="15108" max="15108" width="9.140625" style="48"/>
    <col min="15109" max="15109" width="15.28515625" style="48" customWidth="1"/>
    <col min="15110" max="15110" width="11.5703125" style="48" customWidth="1"/>
    <col min="15111" max="15111" width="12.85546875" style="48" customWidth="1"/>
    <col min="15112" max="15362" width="9.140625" style="48"/>
    <col min="15363" max="15363" width="14.28515625" style="48" customWidth="1"/>
    <col min="15364" max="15364" width="9.140625" style="48"/>
    <col min="15365" max="15365" width="15.28515625" style="48" customWidth="1"/>
    <col min="15366" max="15366" width="11.5703125" style="48" customWidth="1"/>
    <col min="15367" max="15367" width="12.85546875" style="48" customWidth="1"/>
    <col min="15368" max="15618" width="9.140625" style="48"/>
    <col min="15619" max="15619" width="14.28515625" style="48" customWidth="1"/>
    <col min="15620" max="15620" width="9.140625" style="48"/>
    <col min="15621" max="15621" width="15.28515625" style="48" customWidth="1"/>
    <col min="15622" max="15622" width="11.5703125" style="48" customWidth="1"/>
    <col min="15623" max="15623" width="12.85546875" style="48" customWidth="1"/>
    <col min="15624" max="15874" width="9.140625" style="48"/>
    <col min="15875" max="15875" width="14.28515625" style="48" customWidth="1"/>
    <col min="15876" max="15876" width="9.140625" style="48"/>
    <col min="15877" max="15877" width="15.28515625" style="48" customWidth="1"/>
    <col min="15878" max="15878" width="11.5703125" style="48" customWidth="1"/>
    <col min="15879" max="15879" width="12.85546875" style="48" customWidth="1"/>
    <col min="15880" max="16130" width="9.140625" style="48"/>
    <col min="16131" max="16131" width="14.28515625" style="48" customWidth="1"/>
    <col min="16132" max="16132" width="9.140625" style="48"/>
    <col min="16133" max="16133" width="15.28515625" style="48" customWidth="1"/>
    <col min="16134" max="16134" width="11.5703125" style="48" customWidth="1"/>
    <col min="16135" max="16135" width="12.85546875" style="48" customWidth="1"/>
    <col min="16136" max="16384" width="9.140625" style="48"/>
  </cols>
  <sheetData>
    <row r="1" spans="1:12" ht="34.5" customHeight="1" thickBot="1" x14ac:dyDescent="0.3">
      <c r="A1" s="233" t="s">
        <v>192</v>
      </c>
      <c r="B1" s="234"/>
      <c r="C1" s="234"/>
      <c r="D1" s="234"/>
      <c r="E1" s="234"/>
      <c r="F1" s="234"/>
      <c r="G1" s="234"/>
      <c r="H1" s="234"/>
      <c r="I1" s="234"/>
      <c r="J1" s="234"/>
      <c r="K1" s="235"/>
    </row>
    <row r="2" spans="1:12" ht="40.15" customHeight="1" x14ac:dyDescent="0.25">
      <c r="A2" s="94" t="s">
        <v>184</v>
      </c>
      <c r="B2" s="95" t="s">
        <v>29</v>
      </c>
      <c r="C2" s="95" t="s">
        <v>37</v>
      </c>
      <c r="D2" s="95" t="s">
        <v>130</v>
      </c>
      <c r="E2" s="95" t="s">
        <v>117</v>
      </c>
      <c r="F2" s="95" t="s">
        <v>38</v>
      </c>
      <c r="G2" s="95" t="s">
        <v>30</v>
      </c>
      <c r="H2" s="95" t="s">
        <v>31</v>
      </c>
      <c r="I2" s="95" t="s">
        <v>114</v>
      </c>
      <c r="J2" s="95" t="s">
        <v>185</v>
      </c>
      <c r="K2" s="96" t="s">
        <v>188</v>
      </c>
      <c r="L2" s="191"/>
    </row>
    <row r="3" spans="1:12" ht="57.75" customHeight="1" x14ac:dyDescent="0.25">
      <c r="A3" s="259">
        <v>1</v>
      </c>
      <c r="B3" s="50">
        <v>1</v>
      </c>
      <c r="C3" s="52" t="s">
        <v>275</v>
      </c>
      <c r="D3" s="52"/>
      <c r="E3" s="52" t="s">
        <v>201</v>
      </c>
      <c r="F3" s="50" t="s">
        <v>39</v>
      </c>
      <c r="G3" s="50">
        <v>1</v>
      </c>
      <c r="H3" s="51">
        <f>'LAVADOR DE CARRO'!I134</f>
        <v>5808.94</v>
      </c>
      <c r="I3" s="93">
        <f>H3*12</f>
        <v>69707.28</v>
      </c>
      <c r="J3" s="51">
        <f>G3*H3</f>
        <v>5808.94</v>
      </c>
      <c r="K3" s="93">
        <f>J3*12</f>
        <v>69707.28</v>
      </c>
      <c r="L3" s="232"/>
    </row>
    <row r="4" spans="1:12" ht="28.15" customHeight="1" x14ac:dyDescent="0.25">
      <c r="A4" s="260"/>
      <c r="B4" s="50">
        <v>2</v>
      </c>
      <c r="C4" s="202" t="s">
        <v>375</v>
      </c>
      <c r="D4" s="203"/>
      <c r="E4" s="203" t="s">
        <v>376</v>
      </c>
      <c r="F4" s="204" t="s">
        <v>169</v>
      </c>
      <c r="G4" s="203" t="s">
        <v>376</v>
      </c>
      <c r="H4" s="203" t="s">
        <v>376</v>
      </c>
      <c r="I4" s="203" t="s">
        <v>376</v>
      </c>
      <c r="J4" s="51">
        <f>'Material sob demanda LAVADOR'!F20</f>
        <v>371.64999999999992</v>
      </c>
      <c r="K4" s="93">
        <f>J4*12</f>
        <v>4459.7999999999993</v>
      </c>
      <c r="L4" s="232"/>
    </row>
    <row r="5" spans="1:12" ht="19.899999999999999" customHeight="1" x14ac:dyDescent="0.25">
      <c r="A5" s="260"/>
      <c r="B5" s="265"/>
      <c r="C5" s="266"/>
      <c r="D5" s="266"/>
      <c r="E5" s="266"/>
      <c r="F5" s="266"/>
      <c r="G5" s="266"/>
      <c r="H5" s="266"/>
      <c r="I5" s="266"/>
      <c r="J5" s="266"/>
      <c r="K5" s="267"/>
      <c r="L5" s="232"/>
    </row>
    <row r="6" spans="1:12" ht="40.15" customHeight="1" x14ac:dyDescent="0.25">
      <c r="A6" s="260"/>
      <c r="B6" s="196" t="s">
        <v>29</v>
      </c>
      <c r="C6" s="166" t="s">
        <v>37</v>
      </c>
      <c r="D6" s="166" t="s">
        <v>130</v>
      </c>
      <c r="E6" s="166" t="s">
        <v>117</v>
      </c>
      <c r="F6" s="166" t="s">
        <v>38</v>
      </c>
      <c r="G6" s="166" t="s">
        <v>30</v>
      </c>
      <c r="H6" s="166" t="s">
        <v>31</v>
      </c>
      <c r="I6" s="166" t="s">
        <v>114</v>
      </c>
      <c r="J6" s="166" t="s">
        <v>185</v>
      </c>
      <c r="K6" s="167" t="s">
        <v>188</v>
      </c>
      <c r="L6" s="232"/>
    </row>
    <row r="7" spans="1:12" ht="55.9" customHeight="1" x14ac:dyDescent="0.25">
      <c r="A7" s="260"/>
      <c r="B7" s="50">
        <v>3</v>
      </c>
      <c r="C7" s="52" t="s">
        <v>274</v>
      </c>
      <c r="D7" s="52"/>
      <c r="E7" s="52" t="s">
        <v>232</v>
      </c>
      <c r="F7" s="50" t="s">
        <v>39</v>
      </c>
      <c r="G7" s="50">
        <v>1</v>
      </c>
      <c r="H7" s="51">
        <f>'LIMPEZA CAU'!I134</f>
        <v>4824.5600000000004</v>
      </c>
      <c r="I7" s="93">
        <f>H7*12</f>
        <v>57894.720000000001</v>
      </c>
      <c r="J7" s="51">
        <f>G7*H7</f>
        <v>4824.5600000000004</v>
      </c>
      <c r="K7" s="93">
        <f>J7*12</f>
        <v>57894.720000000001</v>
      </c>
      <c r="L7" s="195"/>
    </row>
    <row r="8" spans="1:12" ht="27" customHeight="1" x14ac:dyDescent="0.25">
      <c r="A8" s="260"/>
      <c r="B8" s="50">
        <v>4</v>
      </c>
      <c r="C8" s="205" t="s">
        <v>374</v>
      </c>
      <c r="D8" s="206"/>
      <c r="E8" s="206" t="s">
        <v>376</v>
      </c>
      <c r="F8" s="206" t="s">
        <v>169</v>
      </c>
      <c r="G8" s="206" t="s">
        <v>376</v>
      </c>
      <c r="H8" s="206" t="s">
        <v>376</v>
      </c>
      <c r="I8" s="206" t="s">
        <v>376</v>
      </c>
      <c r="J8" s="51">
        <f>'Material sob demanda LIMP CAU'!F30</f>
        <v>291.58083333333337</v>
      </c>
      <c r="K8" s="200">
        <f>J8*12</f>
        <v>3498.9700000000003</v>
      </c>
      <c r="L8" s="195"/>
    </row>
    <row r="9" spans="1:12" ht="18.75" customHeight="1" x14ac:dyDescent="0.25">
      <c r="A9" s="260"/>
      <c r="B9" s="268"/>
      <c r="C9" s="269"/>
      <c r="D9" s="269"/>
      <c r="E9" s="269"/>
      <c r="F9" s="269"/>
      <c r="G9" s="269"/>
      <c r="H9" s="269"/>
      <c r="I9" s="269"/>
      <c r="J9" s="269"/>
      <c r="K9" s="269"/>
      <c r="L9" s="49"/>
    </row>
    <row r="10" spans="1:12" ht="32.450000000000003" customHeight="1" x14ac:dyDescent="0.25">
      <c r="A10" s="260"/>
      <c r="B10" s="162" t="s">
        <v>29</v>
      </c>
      <c r="C10" s="270" t="s">
        <v>373</v>
      </c>
      <c r="D10" s="270"/>
      <c r="E10" s="270"/>
      <c r="F10" s="270"/>
      <c r="G10" s="270"/>
      <c r="H10" s="270"/>
      <c r="I10" s="270"/>
      <c r="J10" s="270"/>
      <c r="K10" s="270"/>
      <c r="L10" s="53"/>
    </row>
    <row r="11" spans="1:12" ht="48.6" customHeight="1" x14ac:dyDescent="0.25">
      <c r="A11" s="260"/>
      <c r="B11" s="241">
        <v>5</v>
      </c>
      <c r="C11" s="244" t="s">
        <v>350</v>
      </c>
      <c r="D11" s="244"/>
      <c r="E11" s="198" t="s">
        <v>351</v>
      </c>
      <c r="F11" s="246" t="s">
        <v>368</v>
      </c>
      <c r="G11" s="247"/>
      <c r="H11" s="246" t="s">
        <v>369</v>
      </c>
      <c r="I11" s="247"/>
      <c r="J11" s="199" t="s">
        <v>370</v>
      </c>
      <c r="K11" s="199" t="s">
        <v>371</v>
      </c>
    </row>
    <row r="12" spans="1:12" x14ac:dyDescent="0.25">
      <c r="A12" s="260"/>
      <c r="B12" s="242"/>
      <c r="C12" s="240" t="s">
        <v>322</v>
      </c>
      <c r="D12" s="240"/>
      <c r="E12" s="168">
        <v>800</v>
      </c>
      <c r="F12" s="248">
        <f>'Complemento Limp. PHB'!E7</f>
        <v>4.9393919999999998</v>
      </c>
      <c r="G12" s="248"/>
      <c r="H12" s="249">
        <f>F12*E12</f>
        <v>3951.5135999999998</v>
      </c>
      <c r="I12" s="249"/>
      <c r="J12" s="236">
        <f>SUM(H12:H23)</f>
        <v>11856.0803235</v>
      </c>
      <c r="K12" s="262">
        <f>J12*12</f>
        <v>142272.96388200001</v>
      </c>
    </row>
    <row r="13" spans="1:12" x14ac:dyDescent="0.25">
      <c r="A13" s="260"/>
      <c r="B13" s="242"/>
      <c r="C13" s="240" t="s">
        <v>323</v>
      </c>
      <c r="D13" s="240"/>
      <c r="E13" s="168">
        <v>87</v>
      </c>
      <c r="F13" s="248">
        <f>'Complemento Limp. PHB'!E8</f>
        <v>2.370908</v>
      </c>
      <c r="G13" s="248"/>
      <c r="H13" s="249">
        <f>F13*E13</f>
        <v>206.26899600000002</v>
      </c>
      <c r="I13" s="249"/>
      <c r="J13" s="237"/>
      <c r="K13" s="263"/>
    </row>
    <row r="14" spans="1:12" x14ac:dyDescent="0.25">
      <c r="A14" s="260"/>
      <c r="B14" s="242"/>
      <c r="C14" s="240" t="s">
        <v>324</v>
      </c>
      <c r="D14" s="240"/>
      <c r="E14" s="168">
        <v>28</v>
      </c>
      <c r="F14" s="248">
        <f>'Complemento Limp. PHB'!E9</f>
        <v>3.2929279999999999</v>
      </c>
      <c r="G14" s="248"/>
      <c r="H14" s="250">
        <f>F14*E14</f>
        <v>92.201983999999996</v>
      </c>
      <c r="I14" s="251"/>
      <c r="J14" s="237"/>
      <c r="K14" s="263"/>
    </row>
    <row r="15" spans="1:12" ht="21.6" customHeight="1" x14ac:dyDescent="0.25">
      <c r="A15" s="260"/>
      <c r="B15" s="242"/>
      <c r="C15" s="240" t="s">
        <v>325</v>
      </c>
      <c r="D15" s="240"/>
      <c r="E15" s="168">
        <v>170.5</v>
      </c>
      <c r="F15" s="248">
        <f>'Complemento Limp. PHB'!E10</f>
        <v>3.9515129999999998</v>
      </c>
      <c r="G15" s="248"/>
      <c r="H15" s="249">
        <f>F15*E15</f>
        <v>673.73296649999997</v>
      </c>
      <c r="I15" s="249"/>
      <c r="J15" s="237"/>
      <c r="K15" s="263"/>
    </row>
    <row r="16" spans="1:12" x14ac:dyDescent="0.25">
      <c r="A16" s="260"/>
      <c r="B16" s="242"/>
      <c r="C16" s="240" t="s">
        <v>326</v>
      </c>
      <c r="D16" s="240"/>
      <c r="E16" s="168">
        <v>42</v>
      </c>
      <c r="F16" s="248">
        <f>'Complemento Limp. PHB'!E11</f>
        <v>19.757567000000002</v>
      </c>
      <c r="G16" s="248"/>
      <c r="H16" s="249">
        <f>F16*E16</f>
        <v>829.81781400000011</v>
      </c>
      <c r="I16" s="249"/>
      <c r="J16" s="237"/>
      <c r="K16" s="263"/>
    </row>
    <row r="17" spans="1:11" ht="27.6" customHeight="1" x14ac:dyDescent="0.25">
      <c r="A17" s="260"/>
      <c r="B17" s="242"/>
      <c r="C17" s="239" t="s">
        <v>360</v>
      </c>
      <c r="D17" s="239"/>
      <c r="E17" s="252"/>
      <c r="F17" s="253"/>
      <c r="G17" s="253"/>
      <c r="H17" s="253"/>
      <c r="I17" s="254"/>
      <c r="J17" s="237"/>
      <c r="K17" s="263"/>
    </row>
    <row r="18" spans="1:11" ht="27" customHeight="1" x14ac:dyDescent="0.25">
      <c r="A18" s="260"/>
      <c r="B18" s="242"/>
      <c r="C18" s="240" t="s">
        <v>361</v>
      </c>
      <c r="D18" s="240"/>
      <c r="E18" s="197">
        <v>2000</v>
      </c>
      <c r="F18" s="248">
        <f>'Complemento Limp. PHB'!E16</f>
        <v>2.1952850000000002</v>
      </c>
      <c r="G18" s="248"/>
      <c r="H18" s="249">
        <f>F18*E18</f>
        <v>4390.5700000000006</v>
      </c>
      <c r="I18" s="249"/>
      <c r="J18" s="237"/>
      <c r="K18" s="263"/>
    </row>
    <row r="19" spans="1:11" x14ac:dyDescent="0.25">
      <c r="A19" s="260"/>
      <c r="B19" s="242"/>
      <c r="C19" s="240" t="s">
        <v>329</v>
      </c>
      <c r="D19" s="240"/>
      <c r="E19" s="168">
        <v>600</v>
      </c>
      <c r="F19" s="248">
        <f>'Complemento Limp. PHB'!E17</f>
        <v>0.658586</v>
      </c>
      <c r="G19" s="248"/>
      <c r="H19" s="249">
        <f>F19*E19</f>
        <v>395.15160000000003</v>
      </c>
      <c r="I19" s="249"/>
      <c r="J19" s="237"/>
      <c r="K19" s="263"/>
    </row>
    <row r="20" spans="1:11" ht="20.45" customHeight="1" x14ac:dyDescent="0.25">
      <c r="A20" s="260"/>
      <c r="B20" s="242"/>
      <c r="C20" s="240" t="s">
        <v>330</v>
      </c>
      <c r="D20" s="240"/>
      <c r="E20" s="168">
        <v>536</v>
      </c>
      <c r="F20" s="248">
        <f>'Complemento Limp. PHB'!E18</f>
        <v>2.1952850000000002</v>
      </c>
      <c r="G20" s="248"/>
      <c r="H20" s="249">
        <f>F20*E20</f>
        <v>1176.6727600000002</v>
      </c>
      <c r="I20" s="249"/>
      <c r="J20" s="237"/>
      <c r="K20" s="263"/>
    </row>
    <row r="21" spans="1:11" ht="33" customHeight="1" x14ac:dyDescent="0.25">
      <c r="A21" s="260"/>
      <c r="B21" s="242"/>
      <c r="C21" s="239" t="s">
        <v>364</v>
      </c>
      <c r="D21" s="239"/>
      <c r="E21" s="252"/>
      <c r="F21" s="253"/>
      <c r="G21" s="253"/>
      <c r="H21" s="253"/>
      <c r="I21" s="254"/>
      <c r="J21" s="237"/>
      <c r="K21" s="263"/>
    </row>
    <row r="22" spans="1:11" ht="23.45" customHeight="1" x14ac:dyDescent="0.25">
      <c r="A22" s="260"/>
      <c r="B22" s="242"/>
      <c r="C22" s="240" t="s">
        <v>336</v>
      </c>
      <c r="D22" s="240"/>
      <c r="E22" s="168">
        <v>53</v>
      </c>
      <c r="F22" s="248">
        <f>'Complemento Limp. PHB'!H25</f>
        <v>1.3221510000000001</v>
      </c>
      <c r="G22" s="248"/>
      <c r="H22" s="249">
        <f>F22*E22</f>
        <v>70.074003000000005</v>
      </c>
      <c r="I22" s="249"/>
      <c r="J22" s="237"/>
      <c r="K22" s="263"/>
    </row>
    <row r="23" spans="1:11" x14ac:dyDescent="0.25">
      <c r="A23" s="260"/>
      <c r="B23" s="242"/>
      <c r="C23" s="240" t="s">
        <v>337</v>
      </c>
      <c r="D23" s="240"/>
      <c r="E23" s="168">
        <v>53</v>
      </c>
      <c r="F23" s="248">
        <f>'Complemento Limp. PHB'!H26</f>
        <v>1.3222</v>
      </c>
      <c r="G23" s="248"/>
      <c r="H23" s="249">
        <f>F23*E23</f>
        <v>70.076599999999999</v>
      </c>
      <c r="I23" s="249"/>
      <c r="J23" s="237"/>
      <c r="K23" s="263"/>
    </row>
    <row r="24" spans="1:11" x14ac:dyDescent="0.25">
      <c r="A24" s="260"/>
      <c r="B24" s="242"/>
      <c r="C24" s="240"/>
      <c r="D24" s="240"/>
      <c r="E24" s="168"/>
      <c r="F24" s="268"/>
      <c r="G24" s="271"/>
      <c r="H24" s="272"/>
      <c r="I24" s="273"/>
      <c r="J24" s="237"/>
      <c r="K24" s="263"/>
    </row>
    <row r="25" spans="1:11" x14ac:dyDescent="0.25">
      <c r="A25" s="260"/>
      <c r="B25" s="243"/>
      <c r="C25" s="245" t="s">
        <v>366</v>
      </c>
      <c r="D25" s="245"/>
      <c r="E25" s="194">
        <f>SUM(E12:E24)</f>
        <v>4369.5</v>
      </c>
      <c r="F25" s="268"/>
      <c r="G25" s="271"/>
      <c r="H25" s="272"/>
      <c r="I25" s="273"/>
      <c r="J25" s="238"/>
      <c r="K25" s="264"/>
    </row>
    <row r="26" spans="1:11" ht="14.45" customHeight="1" x14ac:dyDescent="0.25">
      <c r="A26" s="260"/>
      <c r="B26" s="207">
        <v>6</v>
      </c>
      <c r="C26" s="255" t="s">
        <v>372</v>
      </c>
      <c r="D26" s="255"/>
      <c r="E26" s="214" t="s">
        <v>376</v>
      </c>
      <c r="F26" s="256" t="s">
        <v>38</v>
      </c>
      <c r="G26" s="257"/>
      <c r="H26" s="257"/>
      <c r="I26" s="258"/>
      <c r="J26" s="221">
        <f>'Material sob demanda LIMP PHB'!F47</f>
        <v>1465.9408333333333</v>
      </c>
      <c r="K26" s="219">
        <f>J26*12</f>
        <v>17591.29</v>
      </c>
    </row>
    <row r="27" spans="1:11" ht="20.25" customHeight="1" thickBot="1" x14ac:dyDescent="0.3">
      <c r="A27" s="260"/>
      <c r="B27" s="205"/>
      <c r="C27" s="208"/>
      <c r="D27" s="208"/>
      <c r="E27" s="208"/>
      <c r="F27" s="208"/>
      <c r="G27" s="208"/>
      <c r="H27" s="208"/>
      <c r="I27" s="208"/>
      <c r="J27" s="215"/>
      <c r="K27" s="216"/>
    </row>
    <row r="28" spans="1:11" ht="45" x14ac:dyDescent="0.25">
      <c r="A28" s="260"/>
      <c r="B28" s="95" t="s">
        <v>29</v>
      </c>
      <c r="C28" s="95" t="s">
        <v>37</v>
      </c>
      <c r="D28" s="95" t="s">
        <v>130</v>
      </c>
      <c r="E28" s="95" t="s">
        <v>117</v>
      </c>
      <c r="F28" s="95" t="s">
        <v>38</v>
      </c>
      <c r="G28" s="95" t="s">
        <v>30</v>
      </c>
      <c r="H28" s="95" t="s">
        <v>31</v>
      </c>
      <c r="I28" s="95" t="s">
        <v>114</v>
      </c>
      <c r="J28" s="95" t="s">
        <v>185</v>
      </c>
      <c r="K28" s="96" t="s">
        <v>188</v>
      </c>
    </row>
    <row r="29" spans="1:11" ht="30" x14ac:dyDescent="0.25">
      <c r="A29" s="260"/>
      <c r="B29" s="207">
        <v>7</v>
      </c>
      <c r="C29" s="207" t="s">
        <v>377</v>
      </c>
      <c r="D29" s="213"/>
      <c r="E29" s="207" t="s">
        <v>379</v>
      </c>
      <c r="F29" s="207" t="s">
        <v>378</v>
      </c>
      <c r="G29" s="207">
        <v>1</v>
      </c>
      <c r="H29" s="220">
        <f>CARREGADOR!I134</f>
        <v>5820.93</v>
      </c>
      <c r="I29" s="218">
        <f>H29*12</f>
        <v>69851.16</v>
      </c>
      <c r="J29" s="220">
        <f>G29*H29</f>
        <v>5820.93</v>
      </c>
      <c r="K29" s="218">
        <f>J29*12</f>
        <v>69851.16</v>
      </c>
    </row>
    <row r="30" spans="1:11" x14ac:dyDescent="0.25">
      <c r="A30" s="260"/>
      <c r="B30" s="261" t="s">
        <v>187</v>
      </c>
      <c r="C30" s="261"/>
      <c r="D30" s="261"/>
      <c r="E30" s="261"/>
      <c r="F30" s="261"/>
      <c r="G30" s="261"/>
      <c r="H30" s="261"/>
      <c r="I30" s="261"/>
      <c r="J30" s="97">
        <f>SUM(J3,J4,J7,J8,J12,J26,J29)</f>
        <v>30439.681990166668</v>
      </c>
      <c r="K30" s="201"/>
    </row>
    <row r="31" spans="1:11" x14ac:dyDescent="0.25">
      <c r="A31" s="260"/>
      <c r="B31" s="261" t="s">
        <v>186</v>
      </c>
      <c r="C31" s="261"/>
      <c r="D31" s="261"/>
      <c r="E31" s="261"/>
      <c r="F31" s="261"/>
      <c r="G31" s="261"/>
      <c r="H31" s="261"/>
      <c r="I31" s="261"/>
      <c r="J31" s="165"/>
      <c r="K31" s="97">
        <f>SUM(K3,K4,K7,K8,K12,K26,K29)</f>
        <v>365276.18388199992</v>
      </c>
    </row>
    <row r="32" spans="1:11" x14ac:dyDescent="0.25">
      <c r="A32" s="48" t="s">
        <v>191</v>
      </c>
      <c r="B32" s="48"/>
    </row>
    <row r="33" spans="2:10" x14ac:dyDescent="0.25">
      <c r="J33" s="222"/>
    </row>
    <row r="40" spans="2:10" x14ac:dyDescent="0.25">
      <c r="B40" s="48"/>
    </row>
    <row r="41" spans="2:10" x14ac:dyDescent="0.25">
      <c r="B41" s="48"/>
    </row>
  </sheetData>
  <mergeCells count="57">
    <mergeCell ref="C26:D26"/>
    <mergeCell ref="F26:I26"/>
    <mergeCell ref="A3:A31"/>
    <mergeCell ref="B31:I31"/>
    <mergeCell ref="K12:K25"/>
    <mergeCell ref="B5:K5"/>
    <mergeCell ref="B9:K9"/>
    <mergeCell ref="C10:K10"/>
    <mergeCell ref="B30:I30"/>
    <mergeCell ref="F24:G24"/>
    <mergeCell ref="H24:I24"/>
    <mergeCell ref="H25:I25"/>
    <mergeCell ref="F25:G25"/>
    <mergeCell ref="F22:G22"/>
    <mergeCell ref="F23:G23"/>
    <mergeCell ref="H22:I22"/>
    <mergeCell ref="H23:I23"/>
    <mergeCell ref="E17:I17"/>
    <mergeCell ref="E21:I21"/>
    <mergeCell ref="F18:G18"/>
    <mergeCell ref="H18:I18"/>
    <mergeCell ref="F19:G19"/>
    <mergeCell ref="H19:I19"/>
    <mergeCell ref="F20:G20"/>
    <mergeCell ref="H20:I20"/>
    <mergeCell ref="C14:D14"/>
    <mergeCell ref="C15:D15"/>
    <mergeCell ref="C16:D16"/>
    <mergeCell ref="C25:D25"/>
    <mergeCell ref="H11:I11"/>
    <mergeCell ref="F11:G11"/>
    <mergeCell ref="F12:G12"/>
    <mergeCell ref="H12:I12"/>
    <mergeCell ref="F13:G13"/>
    <mergeCell ref="H13:I13"/>
    <mergeCell ref="F15:G15"/>
    <mergeCell ref="H15:I15"/>
    <mergeCell ref="F16:G16"/>
    <mergeCell ref="H16:I16"/>
    <mergeCell ref="F14:G14"/>
    <mergeCell ref="H14:I14"/>
    <mergeCell ref="L3:L4"/>
    <mergeCell ref="L5:L6"/>
    <mergeCell ref="A1:K1"/>
    <mergeCell ref="J12:J25"/>
    <mergeCell ref="C17:D17"/>
    <mergeCell ref="C18:D18"/>
    <mergeCell ref="C19:D19"/>
    <mergeCell ref="C20:D20"/>
    <mergeCell ref="C21:D21"/>
    <mergeCell ref="C22:D22"/>
    <mergeCell ref="C23:D23"/>
    <mergeCell ref="C24:D24"/>
    <mergeCell ref="B11:B25"/>
    <mergeCell ref="C11:D11"/>
    <mergeCell ref="C12:D12"/>
    <mergeCell ref="C13:D13"/>
  </mergeCells>
  <pageMargins left="0.39370078740157483" right="0.39370078740157483" top="0.78740157480314965" bottom="0.78740157480314965" header="0.31496062992125984" footer="0.31496062992125984"/>
  <pageSetup paperSize="9" scale="5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7977F-2CF3-48AD-9E09-3FB5E3FE27EB}">
  <sheetPr>
    <tabColor rgb="FF00B050"/>
  </sheetPr>
  <dimension ref="A1:E18"/>
  <sheetViews>
    <sheetView topLeftCell="A4" workbookViewId="0">
      <selection activeCell="E18" sqref="E18"/>
    </sheetView>
  </sheetViews>
  <sheetFormatPr defaultRowHeight="15" x14ac:dyDescent="0.25"/>
  <cols>
    <col min="1" max="1" width="18.85546875" customWidth="1"/>
    <col min="2" max="2" width="17.7109375" customWidth="1"/>
    <col min="3" max="3" width="21.28515625" customWidth="1"/>
    <col min="4" max="4" width="16.5703125" customWidth="1"/>
    <col min="5" max="5" width="14.7109375" customWidth="1"/>
  </cols>
  <sheetData>
    <row r="1" spans="1:5" x14ac:dyDescent="0.25">
      <c r="A1" s="419" t="s">
        <v>349</v>
      </c>
      <c r="B1" s="420"/>
      <c r="C1" s="420"/>
      <c r="D1" s="420"/>
      <c r="E1" s="421"/>
    </row>
    <row r="2" spans="1:5" ht="42.75" x14ac:dyDescent="0.25">
      <c r="A2" s="168" t="s">
        <v>350</v>
      </c>
      <c r="B2" s="168" t="s">
        <v>351</v>
      </c>
      <c r="C2" s="168" t="s">
        <v>352</v>
      </c>
      <c r="D2" s="168" t="s">
        <v>353</v>
      </c>
      <c r="E2" s="168" t="s">
        <v>354</v>
      </c>
    </row>
    <row r="3" spans="1:5" x14ac:dyDescent="0.25">
      <c r="A3" s="192" t="s">
        <v>322</v>
      </c>
      <c r="B3" s="168">
        <v>800</v>
      </c>
      <c r="C3" s="168" t="s">
        <v>355</v>
      </c>
      <c r="D3" s="168">
        <v>1200</v>
      </c>
      <c r="E3" s="168">
        <f t="shared" ref="E3:E12" si="0">B3/D3</f>
        <v>0.66666666666666663</v>
      </c>
    </row>
    <row r="4" spans="1:5" ht="28.5" x14ac:dyDescent="0.25">
      <c r="A4" s="192" t="s">
        <v>323</v>
      </c>
      <c r="B4" s="168">
        <v>87</v>
      </c>
      <c r="C4" s="168" t="s">
        <v>356</v>
      </c>
      <c r="D4" s="168">
        <v>2500</v>
      </c>
      <c r="E4" s="168">
        <f t="shared" si="0"/>
        <v>3.4799999999999998E-2</v>
      </c>
    </row>
    <row r="5" spans="1:5" x14ac:dyDescent="0.25">
      <c r="A5" s="192" t="s">
        <v>324</v>
      </c>
      <c r="B5" s="168">
        <v>28</v>
      </c>
      <c r="C5" s="168" t="s">
        <v>357</v>
      </c>
      <c r="D5" s="168">
        <v>1800</v>
      </c>
      <c r="E5" s="168">
        <f t="shared" si="0"/>
        <v>1.5555555555555555E-2</v>
      </c>
    </row>
    <row r="6" spans="1:5" ht="57" x14ac:dyDescent="0.25">
      <c r="A6" s="192" t="s">
        <v>325</v>
      </c>
      <c r="B6" s="168">
        <v>170.5</v>
      </c>
      <c r="C6" s="168" t="s">
        <v>358</v>
      </c>
      <c r="D6" s="168">
        <v>1500</v>
      </c>
      <c r="E6" s="168">
        <f t="shared" si="0"/>
        <v>0.11366666666666667</v>
      </c>
    </row>
    <row r="7" spans="1:5" x14ac:dyDescent="0.25">
      <c r="A7" s="192" t="s">
        <v>326</v>
      </c>
      <c r="B7" s="168">
        <v>42</v>
      </c>
      <c r="C7" s="168" t="s">
        <v>359</v>
      </c>
      <c r="D7" s="168">
        <v>300</v>
      </c>
      <c r="E7" s="168">
        <f t="shared" si="0"/>
        <v>0.14000000000000001</v>
      </c>
    </row>
    <row r="8" spans="1:5" x14ac:dyDescent="0.25">
      <c r="A8" s="192"/>
      <c r="B8" s="168"/>
      <c r="C8" s="168"/>
      <c r="D8" s="168"/>
      <c r="E8" s="168"/>
    </row>
    <row r="9" spans="1:5" x14ac:dyDescent="0.25">
      <c r="A9" s="193" t="s">
        <v>360</v>
      </c>
      <c r="B9" s="168"/>
      <c r="C9" s="168"/>
      <c r="D9" s="168"/>
      <c r="E9" s="168"/>
    </row>
    <row r="10" spans="1:5" ht="57" x14ac:dyDescent="0.25">
      <c r="A10" s="192" t="s">
        <v>361</v>
      </c>
      <c r="B10" s="168">
        <v>2000</v>
      </c>
      <c r="C10" s="168" t="s">
        <v>362</v>
      </c>
      <c r="D10" s="168">
        <v>2700</v>
      </c>
      <c r="E10" s="168">
        <f t="shared" si="0"/>
        <v>0.7407407407407407</v>
      </c>
    </row>
    <row r="11" spans="1:5" ht="42.75" x14ac:dyDescent="0.25">
      <c r="A11" s="192" t="s">
        <v>329</v>
      </c>
      <c r="B11" s="168">
        <v>600</v>
      </c>
      <c r="C11" s="168" t="s">
        <v>363</v>
      </c>
      <c r="D11" s="168">
        <v>9000</v>
      </c>
      <c r="E11" s="168">
        <f t="shared" si="0"/>
        <v>6.6666666666666666E-2</v>
      </c>
    </row>
    <row r="12" spans="1:5" ht="42.75" x14ac:dyDescent="0.25">
      <c r="A12" s="192" t="s">
        <v>330</v>
      </c>
      <c r="B12" s="168">
        <v>536</v>
      </c>
      <c r="C12" s="168" t="s">
        <v>362</v>
      </c>
      <c r="D12" s="168">
        <v>2700</v>
      </c>
      <c r="E12" s="168">
        <f t="shared" si="0"/>
        <v>0.19851851851851851</v>
      </c>
    </row>
    <row r="13" spans="1:5" x14ac:dyDescent="0.25">
      <c r="A13" s="192"/>
      <c r="B13" s="168"/>
      <c r="C13" s="168"/>
      <c r="D13" s="168"/>
      <c r="E13" s="168"/>
    </row>
    <row r="14" spans="1:5" ht="28.5" x14ac:dyDescent="0.25">
      <c r="A14" s="192" t="s">
        <v>364</v>
      </c>
      <c r="B14" s="168"/>
      <c r="C14" s="168"/>
      <c r="D14" s="168"/>
      <c r="E14" s="168"/>
    </row>
    <row r="15" spans="1:5" ht="42.75" x14ac:dyDescent="0.25">
      <c r="A15" s="192" t="s">
        <v>336</v>
      </c>
      <c r="B15" s="168">
        <v>53</v>
      </c>
      <c r="C15" s="168" t="s">
        <v>365</v>
      </c>
      <c r="D15" s="168">
        <v>380</v>
      </c>
      <c r="E15" s="168">
        <f>B15/D15*16*(1/188.76)</f>
        <v>1.1822308473026177E-2</v>
      </c>
    </row>
    <row r="16" spans="1:5" x14ac:dyDescent="0.25">
      <c r="A16" s="192" t="s">
        <v>337</v>
      </c>
      <c r="B16" s="168">
        <v>53</v>
      </c>
      <c r="C16" s="168" t="s">
        <v>365</v>
      </c>
      <c r="D16" s="168">
        <v>380</v>
      </c>
      <c r="E16" s="168">
        <f>B16/D16*16*(1/188.76)</f>
        <v>1.1822308473026177E-2</v>
      </c>
    </row>
    <row r="17" spans="1:5" x14ac:dyDescent="0.25">
      <c r="A17" s="192"/>
      <c r="B17" s="168"/>
      <c r="C17" s="168"/>
      <c r="D17" s="168"/>
      <c r="E17" s="168"/>
    </row>
    <row r="18" spans="1:5" x14ac:dyDescent="0.25">
      <c r="A18" s="168" t="s">
        <v>366</v>
      </c>
      <c r="B18" s="168">
        <f>SUM(B3:B17)</f>
        <v>4369.5</v>
      </c>
      <c r="C18" s="168"/>
      <c r="D18" s="168" t="s">
        <v>367</v>
      </c>
      <c r="E18" s="168">
        <f>SUM(E3:E17)</f>
        <v>2.0002594317608673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AF745-FA63-490D-B793-78429E51AC6D}">
  <sheetPr>
    <tabColor rgb="FF00B050"/>
  </sheetPr>
  <dimension ref="A1:G37"/>
  <sheetViews>
    <sheetView topLeftCell="A7" workbookViewId="0">
      <selection activeCell="L12" sqref="L12"/>
    </sheetView>
  </sheetViews>
  <sheetFormatPr defaultColWidth="9.140625" defaultRowHeight="12.75" x14ac:dyDescent="0.2"/>
  <cols>
    <col min="1" max="1" width="7.85546875" style="84" customWidth="1"/>
    <col min="2" max="2" width="29" style="84" customWidth="1"/>
    <col min="3" max="3" width="11.7109375" style="84" bestFit="1" customWidth="1"/>
    <col min="4" max="4" width="9.42578125" style="84" bestFit="1" customWidth="1"/>
    <col min="5" max="5" width="10.5703125" style="84" customWidth="1"/>
    <col min="6" max="6" width="9.7109375" style="84" customWidth="1"/>
    <col min="7" max="7" width="13.140625" style="84" customWidth="1"/>
    <col min="8" max="16384" width="9.140625" style="84"/>
  </cols>
  <sheetData>
    <row r="1" spans="1:7" x14ac:dyDescent="0.2">
      <c r="A1" s="83"/>
      <c r="B1" s="83"/>
      <c r="C1" s="83"/>
      <c r="D1" s="83"/>
      <c r="E1" s="83"/>
      <c r="F1" s="83"/>
      <c r="G1" s="83"/>
    </row>
    <row r="2" spans="1:7" ht="21" customHeight="1" x14ac:dyDescent="0.2">
      <c r="A2" s="387" t="s">
        <v>159</v>
      </c>
      <c r="B2" s="388"/>
      <c r="C2" s="389"/>
      <c r="D2" s="389"/>
      <c r="E2" s="389"/>
      <c r="F2" s="389"/>
      <c r="G2" s="390"/>
    </row>
    <row r="3" spans="1:7" ht="38.25" x14ac:dyDescent="0.2">
      <c r="A3" s="85" t="s">
        <v>160</v>
      </c>
      <c r="B3" s="85" t="s">
        <v>161</v>
      </c>
      <c r="C3" s="86" t="s">
        <v>169</v>
      </c>
      <c r="D3" s="86" t="s">
        <v>162</v>
      </c>
      <c r="E3" s="86" t="s">
        <v>167</v>
      </c>
      <c r="F3" s="86" t="s">
        <v>166</v>
      </c>
      <c r="G3" s="86" t="s">
        <v>163</v>
      </c>
    </row>
    <row r="4" spans="1:7" ht="75" x14ac:dyDescent="0.2">
      <c r="A4" s="87">
        <v>1</v>
      </c>
      <c r="B4" s="104" t="s">
        <v>294</v>
      </c>
      <c r="C4" s="92" t="s">
        <v>169</v>
      </c>
      <c r="D4" s="87">
        <v>1</v>
      </c>
      <c r="E4" s="74">
        <v>270.86</v>
      </c>
      <c r="F4" s="88">
        <v>60</v>
      </c>
      <c r="G4" s="74">
        <f>E4/F4</f>
        <v>4.514333333333334</v>
      </c>
    </row>
    <row r="5" spans="1:7" ht="60" x14ac:dyDescent="0.2">
      <c r="A5" s="87">
        <v>2</v>
      </c>
      <c r="B5" s="104" t="s">
        <v>235</v>
      </c>
      <c r="C5" s="92" t="s">
        <v>169</v>
      </c>
      <c r="D5" s="87">
        <v>1</v>
      </c>
      <c r="E5" s="74">
        <v>62.76</v>
      </c>
      <c r="F5" s="88">
        <v>12</v>
      </c>
      <c r="G5" s="74">
        <f t="shared" ref="G5:G16" si="0">E5/F5</f>
        <v>5.2299999999999995</v>
      </c>
    </row>
    <row r="6" spans="1:7" ht="60" x14ac:dyDescent="0.2">
      <c r="A6" s="87">
        <v>3</v>
      </c>
      <c r="B6" s="104" t="s">
        <v>236</v>
      </c>
      <c r="C6" s="92" t="s">
        <v>169</v>
      </c>
      <c r="D6" s="87">
        <v>1</v>
      </c>
      <c r="E6" s="74">
        <v>102.97</v>
      </c>
      <c r="F6" s="88">
        <v>12</v>
      </c>
      <c r="G6" s="74">
        <f t="shared" si="0"/>
        <v>8.5808333333333326</v>
      </c>
    </row>
    <row r="7" spans="1:7" ht="15" x14ac:dyDescent="0.2">
      <c r="A7" s="87">
        <v>4</v>
      </c>
      <c r="B7" s="104" t="s">
        <v>295</v>
      </c>
      <c r="C7" s="92" t="s">
        <v>169</v>
      </c>
      <c r="D7" s="87">
        <v>1</v>
      </c>
      <c r="E7" s="74">
        <v>297.85000000000002</v>
      </c>
      <c r="F7" s="88">
        <v>12</v>
      </c>
      <c r="G7" s="74">
        <f t="shared" si="0"/>
        <v>24.820833333333336</v>
      </c>
    </row>
    <row r="8" spans="1:7" ht="30" x14ac:dyDescent="0.2">
      <c r="A8" s="87">
        <v>5</v>
      </c>
      <c r="B8" s="104" t="s">
        <v>296</v>
      </c>
      <c r="C8" s="92" t="s">
        <v>169</v>
      </c>
      <c r="D8" s="87">
        <v>1</v>
      </c>
      <c r="E8" s="74">
        <v>65.36</v>
      </c>
      <c r="F8" s="88">
        <v>12</v>
      </c>
      <c r="G8" s="74">
        <f t="shared" si="0"/>
        <v>5.4466666666666663</v>
      </c>
    </row>
    <row r="9" spans="1:7" ht="15" x14ac:dyDescent="0.2">
      <c r="A9" s="87">
        <v>6</v>
      </c>
      <c r="B9" s="104" t="s">
        <v>297</v>
      </c>
      <c r="C9" s="92" t="s">
        <v>169</v>
      </c>
      <c r="D9" s="87">
        <v>1</v>
      </c>
      <c r="E9" s="74">
        <v>33.630000000000003</v>
      </c>
      <c r="F9" s="88">
        <v>12</v>
      </c>
      <c r="G9" s="74">
        <f t="shared" si="0"/>
        <v>2.8025000000000002</v>
      </c>
    </row>
    <row r="10" spans="1:7" ht="45" x14ac:dyDescent="0.2">
      <c r="A10" s="87">
        <v>7</v>
      </c>
      <c r="B10" s="104" t="s">
        <v>298</v>
      </c>
      <c r="C10" s="92" t="s">
        <v>169</v>
      </c>
      <c r="D10" s="87">
        <v>1</v>
      </c>
      <c r="E10" s="74">
        <v>753.83</v>
      </c>
      <c r="F10" s="88">
        <v>60</v>
      </c>
      <c r="G10" s="74">
        <f t="shared" si="0"/>
        <v>12.563833333333333</v>
      </c>
    </row>
    <row r="11" spans="1:7" ht="36" customHeight="1" x14ac:dyDescent="0.2">
      <c r="A11" s="87">
        <v>8</v>
      </c>
      <c r="B11" s="104" t="s">
        <v>299</v>
      </c>
      <c r="C11" s="92" t="s">
        <v>169</v>
      </c>
      <c r="D11" s="87">
        <v>1</v>
      </c>
      <c r="E11" s="74">
        <v>22.3</v>
      </c>
      <c r="F11" s="88">
        <v>12</v>
      </c>
      <c r="G11" s="74">
        <f t="shared" si="0"/>
        <v>1.8583333333333334</v>
      </c>
    </row>
    <row r="12" spans="1:7" ht="90" x14ac:dyDescent="0.2">
      <c r="A12" s="87">
        <v>9</v>
      </c>
      <c r="B12" s="104" t="s">
        <v>300</v>
      </c>
      <c r="C12" s="92" t="s">
        <v>169</v>
      </c>
      <c r="D12" s="87">
        <v>2</v>
      </c>
      <c r="E12" s="74">
        <v>35.26</v>
      </c>
      <c r="F12" s="88">
        <v>12</v>
      </c>
      <c r="G12" s="74">
        <f t="shared" ref="G12:G13" si="1">(E12/F12)*D12</f>
        <v>5.876666666666666</v>
      </c>
    </row>
    <row r="13" spans="1:7" ht="90" x14ac:dyDescent="0.2">
      <c r="A13" s="87">
        <v>10</v>
      </c>
      <c r="B13" s="104" t="s">
        <v>301</v>
      </c>
      <c r="C13" s="92" t="s">
        <v>169</v>
      </c>
      <c r="D13" s="87">
        <v>2</v>
      </c>
      <c r="E13" s="74">
        <v>35.26</v>
      </c>
      <c r="F13" s="88">
        <v>12</v>
      </c>
      <c r="G13" s="74">
        <f t="shared" si="1"/>
        <v>5.876666666666666</v>
      </c>
    </row>
    <row r="14" spans="1:7" ht="90" x14ac:dyDescent="0.2">
      <c r="A14" s="87">
        <v>11</v>
      </c>
      <c r="B14" s="104" t="s">
        <v>302</v>
      </c>
      <c r="C14" s="92" t="s">
        <v>169</v>
      </c>
      <c r="D14" s="87">
        <v>2</v>
      </c>
      <c r="E14" s="74">
        <v>35.26</v>
      </c>
      <c r="F14" s="88">
        <v>12</v>
      </c>
      <c r="G14" s="74">
        <f>(E14/F14)*D14</f>
        <v>5.876666666666666</v>
      </c>
    </row>
    <row r="15" spans="1:7" ht="90" x14ac:dyDescent="0.2">
      <c r="A15" s="87">
        <v>12</v>
      </c>
      <c r="B15" s="104" t="s">
        <v>303</v>
      </c>
      <c r="C15" s="92" t="s">
        <v>169</v>
      </c>
      <c r="D15" s="87">
        <v>2</v>
      </c>
      <c r="E15" s="74">
        <v>35.26</v>
      </c>
      <c r="F15" s="88">
        <v>12</v>
      </c>
      <c r="G15" s="74">
        <f>(E15/F15)*2</f>
        <v>5.876666666666666</v>
      </c>
    </row>
    <row r="16" spans="1:7" ht="60" x14ac:dyDescent="0.2">
      <c r="A16" s="87">
        <v>13</v>
      </c>
      <c r="B16" s="104" t="s">
        <v>238</v>
      </c>
      <c r="C16" s="92" t="s">
        <v>169</v>
      </c>
      <c r="D16" s="87">
        <v>1</v>
      </c>
      <c r="E16" s="74">
        <v>339.6</v>
      </c>
      <c r="F16" s="88">
        <v>12</v>
      </c>
      <c r="G16" s="74">
        <f t="shared" si="0"/>
        <v>28.3</v>
      </c>
    </row>
    <row r="17" spans="1:7" x14ac:dyDescent="0.2">
      <c r="A17" s="387" t="s">
        <v>233</v>
      </c>
      <c r="B17" s="388"/>
      <c r="C17" s="388"/>
      <c r="D17" s="388"/>
      <c r="E17" s="388"/>
      <c r="F17" s="390"/>
      <c r="G17" s="89">
        <f>SUM(G4:G16)</f>
        <v>117.624</v>
      </c>
    </row>
    <row r="18" spans="1:7" ht="20.25" customHeight="1" x14ac:dyDescent="0.2">
      <c r="A18" s="407" t="s">
        <v>164</v>
      </c>
      <c r="B18" s="407"/>
      <c r="C18" s="407"/>
      <c r="D18" s="407"/>
      <c r="E18" s="407"/>
      <c r="F18" s="407"/>
      <c r="G18" s="407"/>
    </row>
    <row r="19" spans="1:7" ht="15" customHeight="1" x14ac:dyDescent="0.2">
      <c r="A19" s="407" t="s">
        <v>189</v>
      </c>
      <c r="B19" s="407"/>
      <c r="C19" s="407"/>
      <c r="D19" s="407"/>
      <c r="E19" s="407"/>
      <c r="F19" s="407"/>
      <c r="G19" s="407"/>
    </row>
    <row r="20" spans="1:7" ht="15.75" customHeight="1" x14ac:dyDescent="0.2">
      <c r="A20" s="407"/>
      <c r="B20" s="407"/>
      <c r="C20" s="407"/>
      <c r="D20" s="407"/>
      <c r="E20" s="407"/>
      <c r="F20" s="407"/>
      <c r="G20" s="407"/>
    </row>
    <row r="21" spans="1:7" ht="21" customHeight="1" x14ac:dyDescent="0.2">
      <c r="A21" s="407"/>
      <c r="B21" s="407"/>
      <c r="C21" s="407"/>
      <c r="D21" s="407"/>
      <c r="E21" s="407"/>
      <c r="F21" s="407"/>
      <c r="G21" s="407"/>
    </row>
    <row r="22" spans="1:7" ht="25.5" customHeight="1" x14ac:dyDescent="0.2">
      <c r="A22" s="384" t="s">
        <v>190</v>
      </c>
      <c r="B22" s="385"/>
      <c r="C22" s="385"/>
      <c r="D22" s="385"/>
      <c r="E22" s="385"/>
      <c r="F22" s="385"/>
      <c r="G22" s="386"/>
    </row>
    <row r="23" spans="1:7" ht="52.5" customHeight="1" x14ac:dyDescent="0.2"/>
    <row r="27" spans="1:7" ht="38.25" customHeight="1" x14ac:dyDescent="0.2"/>
    <row r="28" spans="1:7" ht="21" customHeight="1" x14ac:dyDescent="0.2"/>
    <row r="29" spans="1:7" ht="39.75" customHeight="1" x14ac:dyDescent="0.2"/>
    <row r="30" spans="1:7" ht="50.25" customHeight="1" x14ac:dyDescent="0.2"/>
    <row r="31" spans="1:7" ht="48" customHeight="1" x14ac:dyDescent="0.2"/>
    <row r="32" spans="1:7" ht="16.5" customHeight="1" x14ac:dyDescent="0.2"/>
    <row r="33" ht="18.75" customHeight="1" x14ac:dyDescent="0.2"/>
    <row r="34" ht="60" customHeight="1" x14ac:dyDescent="0.2"/>
    <row r="35" ht="15" customHeight="1" x14ac:dyDescent="0.2"/>
    <row r="37" ht="30.75" customHeight="1" x14ac:dyDescent="0.2"/>
  </sheetData>
  <mergeCells count="5">
    <mergeCell ref="A18:G18"/>
    <mergeCell ref="A19:G21"/>
    <mergeCell ref="A22:G22"/>
    <mergeCell ref="A2:G2"/>
    <mergeCell ref="A17:F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DB5E-CFD6-4E07-B8D0-49B5F55F1AB3}">
  <sheetPr>
    <tabColor rgb="FF00B050"/>
  </sheetPr>
  <dimension ref="A2:F47"/>
  <sheetViews>
    <sheetView topLeftCell="A25" workbookViewId="0">
      <selection activeCell="G2" sqref="G2"/>
    </sheetView>
  </sheetViews>
  <sheetFormatPr defaultRowHeight="15" x14ac:dyDescent="0.25"/>
  <cols>
    <col min="1" max="1" width="8.85546875" customWidth="1"/>
    <col min="2" max="2" width="53.7109375" bestFit="1" customWidth="1"/>
    <col min="3" max="3" width="12.85546875" customWidth="1"/>
    <col min="4" max="4" width="13.140625" customWidth="1"/>
    <col min="5" max="5" width="12.28515625" bestFit="1" customWidth="1"/>
    <col min="6" max="6" width="13.5703125" bestFit="1" customWidth="1"/>
  </cols>
  <sheetData>
    <row r="2" spans="1:6" ht="60" x14ac:dyDescent="0.25">
      <c r="A2" s="108" t="s">
        <v>29</v>
      </c>
      <c r="B2" s="108" t="s">
        <v>239</v>
      </c>
      <c r="C2" s="108" t="s">
        <v>240</v>
      </c>
      <c r="D2" s="107" t="s">
        <v>241</v>
      </c>
      <c r="E2" s="108" t="s">
        <v>273</v>
      </c>
      <c r="F2" s="108" t="s">
        <v>242</v>
      </c>
    </row>
    <row r="3" spans="1:6" ht="28.5" x14ac:dyDescent="0.25">
      <c r="A3" s="117">
        <v>1</v>
      </c>
      <c r="B3" s="151" t="s">
        <v>243</v>
      </c>
      <c r="C3" s="117" t="s">
        <v>38</v>
      </c>
      <c r="D3" s="117">
        <v>144</v>
      </c>
      <c r="E3" s="133">
        <v>2.96</v>
      </c>
      <c r="F3" s="133">
        <f>D3*E3</f>
        <v>426.24</v>
      </c>
    </row>
    <row r="4" spans="1:6" x14ac:dyDescent="0.25">
      <c r="A4" s="111">
        <v>2</v>
      </c>
      <c r="B4" s="144" t="s">
        <v>244</v>
      </c>
      <c r="C4" s="111" t="s">
        <v>245</v>
      </c>
      <c r="D4" s="111">
        <v>120</v>
      </c>
      <c r="E4" s="135">
        <v>5.78</v>
      </c>
      <c r="F4" s="135">
        <f t="shared" ref="F4:F45" si="0">D4*E4</f>
        <v>693.6</v>
      </c>
    </row>
    <row r="5" spans="1:6" x14ac:dyDescent="0.25">
      <c r="A5" s="117">
        <v>3</v>
      </c>
      <c r="B5" s="151" t="s">
        <v>246</v>
      </c>
      <c r="C5" s="117" t="s">
        <v>38</v>
      </c>
      <c r="D5" s="117">
        <v>8</v>
      </c>
      <c r="E5" s="133">
        <v>16.34</v>
      </c>
      <c r="F5" s="133">
        <f t="shared" si="0"/>
        <v>130.72</v>
      </c>
    </row>
    <row r="6" spans="1:6" ht="26.25" customHeight="1" x14ac:dyDescent="0.25">
      <c r="A6" s="111">
        <v>4</v>
      </c>
      <c r="B6" s="144" t="s">
        <v>276</v>
      </c>
      <c r="C6" s="111" t="s">
        <v>245</v>
      </c>
      <c r="D6" s="111">
        <v>4</v>
      </c>
      <c r="E6" s="135">
        <v>8.23</v>
      </c>
      <c r="F6" s="135">
        <f t="shared" si="0"/>
        <v>32.92</v>
      </c>
    </row>
    <row r="7" spans="1:6" x14ac:dyDescent="0.25">
      <c r="A7" s="117">
        <v>5</v>
      </c>
      <c r="B7" s="151" t="s">
        <v>277</v>
      </c>
      <c r="C7" s="117" t="s">
        <v>38</v>
      </c>
      <c r="D7" s="117">
        <v>36</v>
      </c>
      <c r="E7" s="133">
        <v>6.82</v>
      </c>
      <c r="F7" s="133">
        <f t="shared" si="0"/>
        <v>245.52</v>
      </c>
    </row>
    <row r="8" spans="1:6" x14ac:dyDescent="0.25">
      <c r="A8" s="111">
        <v>6</v>
      </c>
      <c r="B8" s="144" t="s">
        <v>278</v>
      </c>
      <c r="C8" s="111" t="s">
        <v>38</v>
      </c>
      <c r="D8" s="111">
        <v>3</v>
      </c>
      <c r="E8" s="135">
        <v>4.8099999999999996</v>
      </c>
      <c r="F8" s="135">
        <f t="shared" si="0"/>
        <v>14.43</v>
      </c>
    </row>
    <row r="9" spans="1:6" x14ac:dyDescent="0.25">
      <c r="A9" s="117">
        <v>7</v>
      </c>
      <c r="B9" s="151" t="s">
        <v>279</v>
      </c>
      <c r="C9" s="117" t="s">
        <v>38</v>
      </c>
      <c r="D9" s="117">
        <v>3</v>
      </c>
      <c r="E9" s="133">
        <v>9.27</v>
      </c>
      <c r="F9" s="133">
        <f t="shared" si="0"/>
        <v>27.81</v>
      </c>
    </row>
    <row r="10" spans="1:6" x14ac:dyDescent="0.25">
      <c r="A10" s="111">
        <v>8</v>
      </c>
      <c r="B10" s="144" t="s">
        <v>247</v>
      </c>
      <c r="C10" s="111" t="s">
        <v>183</v>
      </c>
      <c r="D10" s="111">
        <v>24</v>
      </c>
      <c r="E10" s="135">
        <v>7.92</v>
      </c>
      <c r="F10" s="135">
        <f t="shared" si="0"/>
        <v>190.07999999999998</v>
      </c>
    </row>
    <row r="11" spans="1:6" ht="28.5" x14ac:dyDescent="0.25">
      <c r="A11" s="117">
        <v>9</v>
      </c>
      <c r="B11" s="151" t="s">
        <v>248</v>
      </c>
      <c r="C11" s="117" t="s">
        <v>38</v>
      </c>
      <c r="D11" s="117">
        <v>72</v>
      </c>
      <c r="E11" s="133">
        <v>13.44</v>
      </c>
      <c r="F11" s="133">
        <f t="shared" si="0"/>
        <v>967.68</v>
      </c>
    </row>
    <row r="12" spans="1:6" ht="28.5" x14ac:dyDescent="0.25">
      <c r="A12" s="111">
        <v>10</v>
      </c>
      <c r="B12" s="144" t="s">
        <v>249</v>
      </c>
      <c r="C12" s="111" t="s">
        <v>38</v>
      </c>
      <c r="D12" s="111">
        <v>120</v>
      </c>
      <c r="E12" s="135">
        <v>1.89</v>
      </c>
      <c r="F12" s="135">
        <f t="shared" si="0"/>
        <v>226.79999999999998</v>
      </c>
    </row>
    <row r="13" spans="1:6" x14ac:dyDescent="0.25">
      <c r="A13" s="117">
        <v>11</v>
      </c>
      <c r="B13" s="151" t="s">
        <v>250</v>
      </c>
      <c r="C13" s="117" t="s">
        <v>38</v>
      </c>
      <c r="D13" s="117">
        <v>8</v>
      </c>
      <c r="E13" s="133">
        <v>27.14</v>
      </c>
      <c r="F13" s="133">
        <f t="shared" si="0"/>
        <v>217.12</v>
      </c>
    </row>
    <row r="14" spans="1:6" x14ac:dyDescent="0.25">
      <c r="A14" s="111">
        <v>12</v>
      </c>
      <c r="B14" s="144" t="s">
        <v>251</v>
      </c>
      <c r="C14" s="111" t="s">
        <v>38</v>
      </c>
      <c r="D14" s="111">
        <v>9</v>
      </c>
      <c r="E14" s="135">
        <v>28.56</v>
      </c>
      <c r="F14" s="135">
        <f t="shared" si="0"/>
        <v>257.03999999999996</v>
      </c>
    </row>
    <row r="15" spans="1:6" x14ac:dyDescent="0.25">
      <c r="A15" s="117">
        <v>13</v>
      </c>
      <c r="B15" s="151" t="s">
        <v>280</v>
      </c>
      <c r="C15" s="117" t="s">
        <v>38</v>
      </c>
      <c r="D15" s="117">
        <v>16</v>
      </c>
      <c r="E15" s="133">
        <v>2.8</v>
      </c>
      <c r="F15" s="133">
        <f t="shared" si="0"/>
        <v>44.8</v>
      </c>
    </row>
    <row r="16" spans="1:6" x14ac:dyDescent="0.25">
      <c r="A16" s="111">
        <v>14</v>
      </c>
      <c r="B16" s="144" t="s">
        <v>252</v>
      </c>
      <c r="C16" s="111" t="s">
        <v>38</v>
      </c>
      <c r="D16" s="111">
        <v>6</v>
      </c>
      <c r="E16" s="135">
        <v>15.47</v>
      </c>
      <c r="F16" s="135">
        <f t="shared" si="0"/>
        <v>92.820000000000007</v>
      </c>
    </row>
    <row r="17" spans="1:6" x14ac:dyDescent="0.25">
      <c r="A17" s="117">
        <v>15</v>
      </c>
      <c r="B17" s="151" t="s">
        <v>253</v>
      </c>
      <c r="C17" s="117" t="s">
        <v>38</v>
      </c>
      <c r="D17" s="117">
        <v>48</v>
      </c>
      <c r="E17" s="133">
        <v>1.22</v>
      </c>
      <c r="F17" s="133">
        <f t="shared" si="0"/>
        <v>58.56</v>
      </c>
    </row>
    <row r="18" spans="1:6" x14ac:dyDescent="0.25">
      <c r="A18" s="111">
        <v>16</v>
      </c>
      <c r="B18" s="144" t="s">
        <v>254</v>
      </c>
      <c r="C18" s="111" t="s">
        <v>255</v>
      </c>
      <c r="D18" s="111">
        <v>36</v>
      </c>
      <c r="E18" s="135">
        <v>15.36</v>
      </c>
      <c r="F18" s="135">
        <f t="shared" si="0"/>
        <v>552.96</v>
      </c>
    </row>
    <row r="19" spans="1:6" x14ac:dyDescent="0.25">
      <c r="A19" s="117">
        <v>17</v>
      </c>
      <c r="B19" s="151" t="s">
        <v>281</v>
      </c>
      <c r="C19" s="117" t="s">
        <v>38</v>
      </c>
      <c r="D19" s="117">
        <v>5</v>
      </c>
      <c r="E19" s="133">
        <v>26.58</v>
      </c>
      <c r="F19" s="133">
        <f t="shared" si="0"/>
        <v>132.89999999999998</v>
      </c>
    </row>
    <row r="20" spans="1:6" ht="28.5" x14ac:dyDescent="0.25">
      <c r="A20" s="111">
        <v>18</v>
      </c>
      <c r="B20" s="144" t="s">
        <v>256</v>
      </c>
      <c r="C20" s="111" t="s">
        <v>38</v>
      </c>
      <c r="D20" s="111">
        <v>24</v>
      </c>
      <c r="E20" s="135">
        <v>2.48</v>
      </c>
      <c r="F20" s="135">
        <f t="shared" si="0"/>
        <v>59.519999999999996</v>
      </c>
    </row>
    <row r="21" spans="1:6" ht="63" customHeight="1" x14ac:dyDescent="0.25">
      <c r="A21" s="117">
        <v>19</v>
      </c>
      <c r="B21" s="151" t="s">
        <v>282</v>
      </c>
      <c r="C21" s="117" t="s">
        <v>283</v>
      </c>
      <c r="D21" s="117">
        <v>1</v>
      </c>
      <c r="E21" s="133">
        <v>483.05</v>
      </c>
      <c r="F21" s="133">
        <f t="shared" si="0"/>
        <v>483.05</v>
      </c>
    </row>
    <row r="22" spans="1:6" x14ac:dyDescent="0.25">
      <c r="A22" s="111">
        <v>20</v>
      </c>
      <c r="B22" s="144" t="s">
        <v>257</v>
      </c>
      <c r="C22" s="111" t="s">
        <v>225</v>
      </c>
      <c r="D22" s="111">
        <v>36</v>
      </c>
      <c r="E22" s="135">
        <v>2.5499999999999998</v>
      </c>
      <c r="F22" s="135">
        <f t="shared" si="0"/>
        <v>91.8</v>
      </c>
    </row>
    <row r="23" spans="1:6" x14ac:dyDescent="0.25">
      <c r="A23" s="117">
        <v>21</v>
      </c>
      <c r="B23" s="151" t="s">
        <v>258</v>
      </c>
      <c r="C23" s="117" t="s">
        <v>38</v>
      </c>
      <c r="D23" s="117">
        <v>60</v>
      </c>
      <c r="E23" s="133">
        <v>2.62</v>
      </c>
      <c r="F23" s="133">
        <f t="shared" si="0"/>
        <v>157.20000000000002</v>
      </c>
    </row>
    <row r="24" spans="1:6" ht="42.75" x14ac:dyDescent="0.25">
      <c r="A24" s="111">
        <v>22</v>
      </c>
      <c r="B24" s="110" t="s">
        <v>284</v>
      </c>
      <c r="C24" s="111" t="s">
        <v>38</v>
      </c>
      <c r="D24" s="111">
        <v>5</v>
      </c>
      <c r="E24" s="135">
        <v>266.45999999999998</v>
      </c>
      <c r="F24" s="135">
        <f t="shared" si="0"/>
        <v>1332.3</v>
      </c>
    </row>
    <row r="25" spans="1:6" ht="28.5" x14ac:dyDescent="0.25">
      <c r="A25" s="117">
        <v>23</v>
      </c>
      <c r="B25" s="151" t="s">
        <v>259</v>
      </c>
      <c r="C25" s="117" t="s">
        <v>38</v>
      </c>
      <c r="D25" s="117">
        <v>30</v>
      </c>
      <c r="E25" s="133">
        <v>35.159999999999997</v>
      </c>
      <c r="F25" s="133">
        <f t="shared" si="0"/>
        <v>1054.8</v>
      </c>
    </row>
    <row r="26" spans="1:6" x14ac:dyDescent="0.25">
      <c r="A26" s="111">
        <v>24</v>
      </c>
      <c r="B26" s="144" t="s">
        <v>260</v>
      </c>
      <c r="C26" s="111" t="s">
        <v>38</v>
      </c>
      <c r="D26" s="111">
        <v>30</v>
      </c>
      <c r="E26" s="135">
        <v>5.93</v>
      </c>
      <c r="F26" s="135">
        <f t="shared" si="0"/>
        <v>177.89999999999998</v>
      </c>
    </row>
    <row r="27" spans="1:6" x14ac:dyDescent="0.25">
      <c r="A27" s="117">
        <v>25</v>
      </c>
      <c r="B27" s="151" t="s">
        <v>261</v>
      </c>
      <c r="C27" s="117" t="s">
        <v>181</v>
      </c>
      <c r="D27" s="117">
        <v>48</v>
      </c>
      <c r="E27" s="133">
        <v>2.98</v>
      </c>
      <c r="F27" s="133">
        <f t="shared" si="0"/>
        <v>143.04</v>
      </c>
    </row>
    <row r="28" spans="1:6" x14ac:dyDescent="0.25">
      <c r="A28" s="111">
        <v>26</v>
      </c>
      <c r="B28" s="144" t="s">
        <v>168</v>
      </c>
      <c r="C28" s="111" t="s">
        <v>38</v>
      </c>
      <c r="D28" s="111">
        <v>4</v>
      </c>
      <c r="E28" s="135">
        <v>33.1</v>
      </c>
      <c r="F28" s="135">
        <f t="shared" si="0"/>
        <v>132.4</v>
      </c>
    </row>
    <row r="29" spans="1:6" x14ac:dyDescent="0.25">
      <c r="A29" s="117">
        <v>27</v>
      </c>
      <c r="B29" s="151" t="s">
        <v>262</v>
      </c>
      <c r="C29" s="117" t="s">
        <v>38</v>
      </c>
      <c r="D29" s="117">
        <v>8</v>
      </c>
      <c r="E29" s="133">
        <v>8.44</v>
      </c>
      <c r="F29" s="133">
        <f t="shared" si="0"/>
        <v>67.52</v>
      </c>
    </row>
    <row r="30" spans="1:6" x14ac:dyDescent="0.25">
      <c r="A30" s="111">
        <v>28</v>
      </c>
      <c r="B30" s="110" t="s">
        <v>263</v>
      </c>
      <c r="C30" s="111" t="s">
        <v>255</v>
      </c>
      <c r="D30" s="111">
        <v>36</v>
      </c>
      <c r="E30" s="135">
        <v>1.61</v>
      </c>
      <c r="F30" s="135">
        <f t="shared" si="0"/>
        <v>57.96</v>
      </c>
    </row>
    <row r="31" spans="1:6" ht="28.5" x14ac:dyDescent="0.25">
      <c r="A31" s="117">
        <v>29</v>
      </c>
      <c r="B31" s="151" t="s">
        <v>264</v>
      </c>
      <c r="C31" s="117" t="s">
        <v>38</v>
      </c>
      <c r="D31" s="117">
        <v>24</v>
      </c>
      <c r="E31" s="133">
        <v>3.77</v>
      </c>
      <c r="F31" s="133">
        <f t="shared" si="0"/>
        <v>90.48</v>
      </c>
    </row>
    <row r="32" spans="1:6" ht="42.75" x14ac:dyDescent="0.25">
      <c r="A32" s="111">
        <v>30</v>
      </c>
      <c r="B32" s="144" t="s">
        <v>285</v>
      </c>
      <c r="C32" s="111" t="s">
        <v>286</v>
      </c>
      <c r="D32" s="111">
        <v>36</v>
      </c>
      <c r="E32" s="135">
        <v>68.7</v>
      </c>
      <c r="F32" s="135">
        <f t="shared" si="0"/>
        <v>2473.2000000000003</v>
      </c>
    </row>
    <row r="33" spans="1:6" ht="28.5" x14ac:dyDescent="0.25">
      <c r="A33" s="117">
        <v>31</v>
      </c>
      <c r="B33" s="151" t="s">
        <v>265</v>
      </c>
      <c r="C33" s="117" t="s">
        <v>255</v>
      </c>
      <c r="D33" s="117">
        <v>120</v>
      </c>
      <c r="E33" s="133">
        <v>9.6999999999999993</v>
      </c>
      <c r="F33" s="133">
        <f t="shared" si="0"/>
        <v>1164</v>
      </c>
    </row>
    <row r="34" spans="1:6" x14ac:dyDescent="0.25">
      <c r="A34" s="111">
        <v>32</v>
      </c>
      <c r="B34" s="144" t="s">
        <v>287</v>
      </c>
      <c r="C34" s="111" t="s">
        <v>38</v>
      </c>
      <c r="D34" s="111">
        <v>360</v>
      </c>
      <c r="E34" s="135">
        <v>1.66</v>
      </c>
      <c r="F34" s="135">
        <f t="shared" si="0"/>
        <v>597.6</v>
      </c>
    </row>
    <row r="35" spans="1:6" x14ac:dyDescent="0.25">
      <c r="A35" s="117">
        <v>33</v>
      </c>
      <c r="B35" s="151" t="s">
        <v>266</v>
      </c>
      <c r="C35" s="117" t="s">
        <v>38</v>
      </c>
      <c r="D35" s="117">
        <v>8</v>
      </c>
      <c r="E35" s="133">
        <v>9.24</v>
      </c>
      <c r="F35" s="133">
        <f t="shared" si="0"/>
        <v>73.92</v>
      </c>
    </row>
    <row r="36" spans="1:6" x14ac:dyDescent="0.25">
      <c r="A36" s="111">
        <v>34</v>
      </c>
      <c r="B36" s="144" t="s">
        <v>267</v>
      </c>
      <c r="C36" s="111" t="s">
        <v>38</v>
      </c>
      <c r="D36" s="111">
        <v>60</v>
      </c>
      <c r="E36" s="135">
        <v>4.59</v>
      </c>
      <c r="F36" s="135">
        <f t="shared" si="0"/>
        <v>275.39999999999998</v>
      </c>
    </row>
    <row r="37" spans="1:6" x14ac:dyDescent="0.25">
      <c r="A37" s="117">
        <v>35</v>
      </c>
      <c r="B37" s="151" t="s">
        <v>288</v>
      </c>
      <c r="C37" s="117" t="s">
        <v>178</v>
      </c>
      <c r="D37" s="117">
        <v>60</v>
      </c>
      <c r="E37" s="133">
        <v>10.96</v>
      </c>
      <c r="F37" s="133">
        <f t="shared" si="0"/>
        <v>657.6</v>
      </c>
    </row>
    <row r="38" spans="1:6" x14ac:dyDescent="0.25">
      <c r="A38" s="111">
        <v>36</v>
      </c>
      <c r="B38" s="144" t="s">
        <v>268</v>
      </c>
      <c r="C38" s="111" t="s">
        <v>183</v>
      </c>
      <c r="D38" s="111">
        <v>48</v>
      </c>
      <c r="E38" s="135">
        <v>13.17</v>
      </c>
      <c r="F38" s="135">
        <f t="shared" si="0"/>
        <v>632.16</v>
      </c>
    </row>
    <row r="39" spans="1:6" x14ac:dyDescent="0.25">
      <c r="A39" s="117">
        <v>37</v>
      </c>
      <c r="B39" s="151" t="s">
        <v>289</v>
      </c>
      <c r="C39" s="117" t="s">
        <v>255</v>
      </c>
      <c r="D39" s="117">
        <v>36</v>
      </c>
      <c r="E39" s="133">
        <v>30.49</v>
      </c>
      <c r="F39" s="133">
        <f t="shared" si="0"/>
        <v>1097.6399999999999</v>
      </c>
    </row>
    <row r="40" spans="1:6" x14ac:dyDescent="0.25">
      <c r="A40" s="111">
        <v>38</v>
      </c>
      <c r="B40" s="144" t="s">
        <v>290</v>
      </c>
      <c r="C40" s="111" t="s">
        <v>255</v>
      </c>
      <c r="D40" s="111">
        <v>60</v>
      </c>
      <c r="E40" s="135">
        <v>16.73</v>
      </c>
      <c r="F40" s="135">
        <f t="shared" si="0"/>
        <v>1003.8000000000001</v>
      </c>
    </row>
    <row r="41" spans="1:6" x14ac:dyDescent="0.25">
      <c r="A41" s="117">
        <v>39</v>
      </c>
      <c r="B41" s="151" t="s">
        <v>269</v>
      </c>
      <c r="C41" s="117" t="s">
        <v>255</v>
      </c>
      <c r="D41" s="117">
        <v>72</v>
      </c>
      <c r="E41" s="133">
        <v>7.77</v>
      </c>
      <c r="F41" s="133">
        <f t="shared" si="0"/>
        <v>559.43999999999994</v>
      </c>
    </row>
    <row r="42" spans="1:6" x14ac:dyDescent="0.25">
      <c r="A42" s="111">
        <v>40</v>
      </c>
      <c r="B42" s="144" t="s">
        <v>291</v>
      </c>
      <c r="C42" s="111" t="s">
        <v>38</v>
      </c>
      <c r="D42" s="111">
        <v>48</v>
      </c>
      <c r="E42" s="135">
        <v>6.89</v>
      </c>
      <c r="F42" s="135">
        <f t="shared" si="0"/>
        <v>330.71999999999997</v>
      </c>
    </row>
    <row r="43" spans="1:6" x14ac:dyDescent="0.25">
      <c r="A43" s="117">
        <v>41</v>
      </c>
      <c r="B43" s="151" t="s">
        <v>292</v>
      </c>
      <c r="C43" s="117" t="s">
        <v>38</v>
      </c>
      <c r="D43" s="117">
        <v>24</v>
      </c>
      <c r="E43" s="133">
        <v>11.98</v>
      </c>
      <c r="F43" s="133">
        <f t="shared" si="0"/>
        <v>287.52</v>
      </c>
    </row>
    <row r="44" spans="1:6" x14ac:dyDescent="0.25">
      <c r="A44" s="111">
        <v>42</v>
      </c>
      <c r="B44" s="144" t="s">
        <v>270</v>
      </c>
      <c r="C44" s="111" t="s">
        <v>38</v>
      </c>
      <c r="D44" s="111">
        <v>16</v>
      </c>
      <c r="E44" s="135">
        <v>14.6</v>
      </c>
      <c r="F44" s="135">
        <f t="shared" si="0"/>
        <v>233.6</v>
      </c>
    </row>
    <row r="45" spans="1:6" ht="15.75" thickBot="1" x14ac:dyDescent="0.3">
      <c r="A45" s="152">
        <v>43</v>
      </c>
      <c r="B45" s="154" t="s">
        <v>293</v>
      </c>
      <c r="C45" s="152" t="s">
        <v>38</v>
      </c>
      <c r="D45" s="152">
        <v>8</v>
      </c>
      <c r="E45" s="153">
        <v>5.59</v>
      </c>
      <c r="F45" s="153">
        <f t="shared" si="0"/>
        <v>44.72</v>
      </c>
    </row>
    <row r="46" spans="1:6" ht="15.75" thickBot="1" x14ac:dyDescent="0.3">
      <c r="A46" s="422" t="s">
        <v>271</v>
      </c>
      <c r="B46" s="423"/>
      <c r="C46" s="423"/>
      <c r="D46" s="423"/>
      <c r="E46" s="424"/>
      <c r="F46" s="155">
        <f>SUM(F3:F45)</f>
        <v>17591.29</v>
      </c>
    </row>
    <row r="47" spans="1:6" ht="15.75" thickBot="1" x14ac:dyDescent="0.3">
      <c r="A47" s="422" t="s">
        <v>272</v>
      </c>
      <c r="B47" s="423"/>
      <c r="C47" s="423"/>
      <c r="D47" s="423"/>
      <c r="E47" s="424"/>
      <c r="F47" s="155">
        <f>F46/12</f>
        <v>1465.9408333333333</v>
      </c>
    </row>
  </sheetData>
  <mergeCells count="2">
    <mergeCell ref="A47:E47"/>
    <mergeCell ref="A46:E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7184E-4D7E-4FAF-9AA7-A25E6F207333}">
  <sheetPr>
    <tabColor rgb="FF7030A0"/>
  </sheetPr>
  <dimension ref="A1:L134"/>
  <sheetViews>
    <sheetView view="pageBreakPreview" topLeftCell="A112" zoomScale="115" zoomScaleNormal="100" zoomScaleSheetLayoutView="115" workbookViewId="0">
      <selection activeCell="O13" sqref="O13"/>
    </sheetView>
  </sheetViews>
  <sheetFormatPr defaultRowHeight="15.75" x14ac:dyDescent="0.25"/>
  <cols>
    <col min="1" max="1" width="10.140625" style="2" bestFit="1" customWidth="1"/>
    <col min="2" max="2" width="12.5703125" style="2" bestFit="1" customWidth="1"/>
    <col min="3" max="3" width="10.85546875" style="2" customWidth="1"/>
    <col min="4" max="4" width="14.42578125" style="2" customWidth="1"/>
    <col min="5" max="5" width="12.85546875" style="2" bestFit="1" customWidth="1"/>
    <col min="6" max="6" width="11" style="2" bestFit="1" customWidth="1"/>
    <col min="7" max="7" width="19.85546875" style="2" customWidth="1"/>
    <col min="8" max="8" width="14.7109375" style="2" customWidth="1"/>
    <col min="9" max="9" width="34" style="2" bestFit="1" customWidth="1"/>
    <col min="10" max="10" width="4" style="2" customWidth="1"/>
    <col min="11" max="11" width="14.140625" style="2" customWidth="1"/>
    <col min="12" max="12" width="11.42578125" style="2" customWidth="1"/>
    <col min="13" max="15" width="9.28515625" style="2" bestFit="1" customWidth="1"/>
    <col min="16" max="256" width="9.140625" style="2"/>
    <col min="257" max="257" width="10.140625" style="2" bestFit="1" customWidth="1"/>
    <col min="258" max="259" width="9.140625" style="2"/>
    <col min="260" max="260" width="20.85546875" style="2" customWidth="1"/>
    <col min="261" max="261" width="12.85546875" style="2" bestFit="1" customWidth="1"/>
    <col min="262" max="262" width="9.140625" style="2"/>
    <col min="263" max="263" width="19.85546875" style="2" customWidth="1"/>
    <col min="264" max="264" width="14.7109375" style="2" customWidth="1"/>
    <col min="265" max="265" width="34" style="2" bestFit="1" customWidth="1"/>
    <col min="266" max="266" width="4" style="2" customWidth="1"/>
    <col min="267" max="267" width="14.140625" style="2" customWidth="1"/>
    <col min="268" max="268" width="11.42578125" style="2" customWidth="1"/>
    <col min="269" max="271" width="9.28515625" style="2" bestFit="1" customWidth="1"/>
    <col min="272" max="512" width="9.140625" style="2"/>
    <col min="513" max="513" width="10.140625" style="2" bestFit="1" customWidth="1"/>
    <col min="514" max="515" width="9.140625" style="2"/>
    <col min="516" max="516" width="20.85546875" style="2" customWidth="1"/>
    <col min="517" max="517" width="12.85546875" style="2" bestFit="1" customWidth="1"/>
    <col min="518" max="518" width="9.140625" style="2"/>
    <col min="519" max="519" width="19.85546875" style="2" customWidth="1"/>
    <col min="520" max="520" width="14.7109375" style="2" customWidth="1"/>
    <col min="521" max="521" width="34" style="2" bestFit="1" customWidth="1"/>
    <col min="522" max="522" width="4" style="2" customWidth="1"/>
    <col min="523" max="523" width="14.140625" style="2" customWidth="1"/>
    <col min="524" max="524" width="11.42578125" style="2" customWidth="1"/>
    <col min="525" max="527" width="9.28515625" style="2" bestFit="1" customWidth="1"/>
    <col min="528" max="768" width="9.140625" style="2"/>
    <col min="769" max="769" width="10.140625" style="2" bestFit="1" customWidth="1"/>
    <col min="770" max="771" width="9.140625" style="2"/>
    <col min="772" max="772" width="20.85546875" style="2" customWidth="1"/>
    <col min="773" max="773" width="12.85546875" style="2" bestFit="1" customWidth="1"/>
    <col min="774" max="774" width="9.140625" style="2"/>
    <col min="775" max="775" width="19.85546875" style="2" customWidth="1"/>
    <col min="776" max="776" width="14.7109375" style="2" customWidth="1"/>
    <col min="777" max="777" width="34" style="2" bestFit="1" customWidth="1"/>
    <col min="778" max="778" width="4" style="2" customWidth="1"/>
    <col min="779" max="779" width="14.140625" style="2" customWidth="1"/>
    <col min="780" max="780" width="11.42578125" style="2" customWidth="1"/>
    <col min="781" max="783" width="9.28515625" style="2" bestFit="1" customWidth="1"/>
    <col min="784" max="1024" width="9.140625" style="2"/>
    <col min="1025" max="1025" width="10.140625" style="2" bestFit="1" customWidth="1"/>
    <col min="1026" max="1027" width="9.140625" style="2"/>
    <col min="1028" max="1028" width="20.85546875" style="2" customWidth="1"/>
    <col min="1029" max="1029" width="12.85546875" style="2" bestFit="1" customWidth="1"/>
    <col min="1030" max="1030" width="9.140625" style="2"/>
    <col min="1031" max="1031" width="19.85546875" style="2" customWidth="1"/>
    <col min="1032" max="1032" width="14.7109375" style="2" customWidth="1"/>
    <col min="1033" max="1033" width="34" style="2" bestFit="1" customWidth="1"/>
    <col min="1034" max="1034" width="4" style="2" customWidth="1"/>
    <col min="1035" max="1035" width="14.140625" style="2" customWidth="1"/>
    <col min="1036" max="1036" width="11.42578125" style="2" customWidth="1"/>
    <col min="1037" max="1039" width="9.28515625" style="2" bestFit="1" customWidth="1"/>
    <col min="1040" max="1280" width="9.140625" style="2"/>
    <col min="1281" max="1281" width="10.140625" style="2" bestFit="1" customWidth="1"/>
    <col min="1282" max="1283" width="9.140625" style="2"/>
    <col min="1284" max="1284" width="20.85546875" style="2" customWidth="1"/>
    <col min="1285" max="1285" width="12.85546875" style="2" bestFit="1" customWidth="1"/>
    <col min="1286" max="1286" width="9.140625" style="2"/>
    <col min="1287" max="1287" width="19.85546875" style="2" customWidth="1"/>
    <col min="1288" max="1288" width="14.7109375" style="2" customWidth="1"/>
    <col min="1289" max="1289" width="34" style="2" bestFit="1" customWidth="1"/>
    <col min="1290" max="1290" width="4" style="2" customWidth="1"/>
    <col min="1291" max="1291" width="14.140625" style="2" customWidth="1"/>
    <col min="1292" max="1292" width="11.42578125" style="2" customWidth="1"/>
    <col min="1293" max="1295" width="9.28515625" style="2" bestFit="1" customWidth="1"/>
    <col min="1296" max="1536" width="9.140625" style="2"/>
    <col min="1537" max="1537" width="10.140625" style="2" bestFit="1" customWidth="1"/>
    <col min="1538" max="1539" width="9.140625" style="2"/>
    <col min="1540" max="1540" width="20.85546875" style="2" customWidth="1"/>
    <col min="1541" max="1541" width="12.85546875" style="2" bestFit="1" customWidth="1"/>
    <col min="1542" max="1542" width="9.140625" style="2"/>
    <col min="1543" max="1543" width="19.85546875" style="2" customWidth="1"/>
    <col min="1544" max="1544" width="14.7109375" style="2" customWidth="1"/>
    <col min="1545" max="1545" width="34" style="2" bestFit="1" customWidth="1"/>
    <col min="1546" max="1546" width="4" style="2" customWidth="1"/>
    <col min="1547" max="1547" width="14.140625" style="2" customWidth="1"/>
    <col min="1548" max="1548" width="11.42578125" style="2" customWidth="1"/>
    <col min="1549" max="1551" width="9.28515625" style="2" bestFit="1" customWidth="1"/>
    <col min="1552" max="1792" width="9.140625" style="2"/>
    <col min="1793" max="1793" width="10.140625" style="2" bestFit="1" customWidth="1"/>
    <col min="1794" max="1795" width="9.140625" style="2"/>
    <col min="1796" max="1796" width="20.85546875" style="2" customWidth="1"/>
    <col min="1797" max="1797" width="12.85546875" style="2" bestFit="1" customWidth="1"/>
    <col min="1798" max="1798" width="9.140625" style="2"/>
    <col min="1799" max="1799" width="19.85546875" style="2" customWidth="1"/>
    <col min="1800" max="1800" width="14.7109375" style="2" customWidth="1"/>
    <col min="1801" max="1801" width="34" style="2" bestFit="1" customWidth="1"/>
    <col min="1802" max="1802" width="4" style="2" customWidth="1"/>
    <col min="1803" max="1803" width="14.140625" style="2" customWidth="1"/>
    <col min="1804" max="1804" width="11.42578125" style="2" customWidth="1"/>
    <col min="1805" max="1807" width="9.28515625" style="2" bestFit="1" customWidth="1"/>
    <col min="1808" max="2048" width="9.140625" style="2"/>
    <col min="2049" max="2049" width="10.140625" style="2" bestFit="1" customWidth="1"/>
    <col min="2050" max="2051" width="9.140625" style="2"/>
    <col min="2052" max="2052" width="20.85546875" style="2" customWidth="1"/>
    <col min="2053" max="2053" width="12.85546875" style="2" bestFit="1" customWidth="1"/>
    <col min="2054" max="2054" width="9.140625" style="2"/>
    <col min="2055" max="2055" width="19.85546875" style="2" customWidth="1"/>
    <col min="2056" max="2056" width="14.7109375" style="2" customWidth="1"/>
    <col min="2057" max="2057" width="34" style="2" bestFit="1" customWidth="1"/>
    <col min="2058" max="2058" width="4" style="2" customWidth="1"/>
    <col min="2059" max="2059" width="14.140625" style="2" customWidth="1"/>
    <col min="2060" max="2060" width="11.42578125" style="2" customWidth="1"/>
    <col min="2061" max="2063" width="9.28515625" style="2" bestFit="1" customWidth="1"/>
    <col min="2064" max="2304" width="9.140625" style="2"/>
    <col min="2305" max="2305" width="10.140625" style="2" bestFit="1" customWidth="1"/>
    <col min="2306" max="2307" width="9.140625" style="2"/>
    <col min="2308" max="2308" width="20.85546875" style="2" customWidth="1"/>
    <col min="2309" max="2309" width="12.85546875" style="2" bestFit="1" customWidth="1"/>
    <col min="2310" max="2310" width="9.140625" style="2"/>
    <col min="2311" max="2311" width="19.85546875" style="2" customWidth="1"/>
    <col min="2312" max="2312" width="14.7109375" style="2" customWidth="1"/>
    <col min="2313" max="2313" width="34" style="2" bestFit="1" customWidth="1"/>
    <col min="2314" max="2314" width="4" style="2" customWidth="1"/>
    <col min="2315" max="2315" width="14.140625" style="2" customWidth="1"/>
    <col min="2316" max="2316" width="11.42578125" style="2" customWidth="1"/>
    <col min="2317" max="2319" width="9.28515625" style="2" bestFit="1" customWidth="1"/>
    <col min="2320" max="2560" width="9.140625" style="2"/>
    <col min="2561" max="2561" width="10.140625" style="2" bestFit="1" customWidth="1"/>
    <col min="2562" max="2563" width="9.140625" style="2"/>
    <col min="2564" max="2564" width="20.85546875" style="2" customWidth="1"/>
    <col min="2565" max="2565" width="12.85546875" style="2" bestFit="1" customWidth="1"/>
    <col min="2566" max="2566" width="9.140625" style="2"/>
    <col min="2567" max="2567" width="19.85546875" style="2" customWidth="1"/>
    <col min="2568" max="2568" width="14.7109375" style="2" customWidth="1"/>
    <col min="2569" max="2569" width="34" style="2" bestFit="1" customWidth="1"/>
    <col min="2570" max="2570" width="4" style="2" customWidth="1"/>
    <col min="2571" max="2571" width="14.140625" style="2" customWidth="1"/>
    <col min="2572" max="2572" width="11.42578125" style="2" customWidth="1"/>
    <col min="2573" max="2575" width="9.28515625" style="2" bestFit="1" customWidth="1"/>
    <col min="2576" max="2816" width="9.140625" style="2"/>
    <col min="2817" max="2817" width="10.140625" style="2" bestFit="1" customWidth="1"/>
    <col min="2818" max="2819" width="9.140625" style="2"/>
    <col min="2820" max="2820" width="20.85546875" style="2" customWidth="1"/>
    <col min="2821" max="2821" width="12.85546875" style="2" bestFit="1" customWidth="1"/>
    <col min="2822" max="2822" width="9.140625" style="2"/>
    <col min="2823" max="2823" width="19.85546875" style="2" customWidth="1"/>
    <col min="2824" max="2824" width="14.7109375" style="2" customWidth="1"/>
    <col min="2825" max="2825" width="34" style="2" bestFit="1" customWidth="1"/>
    <col min="2826" max="2826" width="4" style="2" customWidth="1"/>
    <col min="2827" max="2827" width="14.140625" style="2" customWidth="1"/>
    <col min="2828" max="2828" width="11.42578125" style="2" customWidth="1"/>
    <col min="2829" max="2831" width="9.28515625" style="2" bestFit="1" customWidth="1"/>
    <col min="2832" max="3072" width="9.140625" style="2"/>
    <col min="3073" max="3073" width="10.140625" style="2" bestFit="1" customWidth="1"/>
    <col min="3074" max="3075" width="9.140625" style="2"/>
    <col min="3076" max="3076" width="20.85546875" style="2" customWidth="1"/>
    <col min="3077" max="3077" width="12.85546875" style="2" bestFit="1" customWidth="1"/>
    <col min="3078" max="3078" width="9.140625" style="2"/>
    <col min="3079" max="3079" width="19.85546875" style="2" customWidth="1"/>
    <col min="3080" max="3080" width="14.7109375" style="2" customWidth="1"/>
    <col min="3081" max="3081" width="34" style="2" bestFit="1" customWidth="1"/>
    <col min="3082" max="3082" width="4" style="2" customWidth="1"/>
    <col min="3083" max="3083" width="14.140625" style="2" customWidth="1"/>
    <col min="3084" max="3084" width="11.42578125" style="2" customWidth="1"/>
    <col min="3085" max="3087" width="9.28515625" style="2" bestFit="1" customWidth="1"/>
    <col min="3088" max="3328" width="9.140625" style="2"/>
    <col min="3329" max="3329" width="10.140625" style="2" bestFit="1" customWidth="1"/>
    <col min="3330" max="3331" width="9.140625" style="2"/>
    <col min="3332" max="3332" width="20.85546875" style="2" customWidth="1"/>
    <col min="3333" max="3333" width="12.85546875" style="2" bestFit="1" customWidth="1"/>
    <col min="3334" max="3334" width="9.140625" style="2"/>
    <col min="3335" max="3335" width="19.85546875" style="2" customWidth="1"/>
    <col min="3336" max="3336" width="14.7109375" style="2" customWidth="1"/>
    <col min="3337" max="3337" width="34" style="2" bestFit="1" customWidth="1"/>
    <col min="3338" max="3338" width="4" style="2" customWidth="1"/>
    <col min="3339" max="3339" width="14.140625" style="2" customWidth="1"/>
    <col min="3340" max="3340" width="11.42578125" style="2" customWidth="1"/>
    <col min="3341" max="3343" width="9.28515625" style="2" bestFit="1" customWidth="1"/>
    <col min="3344" max="3584" width="9.140625" style="2"/>
    <col min="3585" max="3585" width="10.140625" style="2" bestFit="1" customWidth="1"/>
    <col min="3586" max="3587" width="9.140625" style="2"/>
    <col min="3588" max="3588" width="20.85546875" style="2" customWidth="1"/>
    <col min="3589" max="3589" width="12.85546875" style="2" bestFit="1" customWidth="1"/>
    <col min="3590" max="3590" width="9.140625" style="2"/>
    <col min="3591" max="3591" width="19.85546875" style="2" customWidth="1"/>
    <col min="3592" max="3592" width="14.7109375" style="2" customWidth="1"/>
    <col min="3593" max="3593" width="34" style="2" bestFit="1" customWidth="1"/>
    <col min="3594" max="3594" width="4" style="2" customWidth="1"/>
    <col min="3595" max="3595" width="14.140625" style="2" customWidth="1"/>
    <col min="3596" max="3596" width="11.42578125" style="2" customWidth="1"/>
    <col min="3597" max="3599" width="9.28515625" style="2" bestFit="1" customWidth="1"/>
    <col min="3600" max="3840" width="9.140625" style="2"/>
    <col min="3841" max="3841" width="10.140625" style="2" bestFit="1" customWidth="1"/>
    <col min="3842" max="3843" width="9.140625" style="2"/>
    <col min="3844" max="3844" width="20.85546875" style="2" customWidth="1"/>
    <col min="3845" max="3845" width="12.85546875" style="2" bestFit="1" customWidth="1"/>
    <col min="3846" max="3846" width="9.140625" style="2"/>
    <col min="3847" max="3847" width="19.85546875" style="2" customWidth="1"/>
    <col min="3848" max="3848" width="14.7109375" style="2" customWidth="1"/>
    <col min="3849" max="3849" width="34" style="2" bestFit="1" customWidth="1"/>
    <col min="3850" max="3850" width="4" style="2" customWidth="1"/>
    <col min="3851" max="3851" width="14.140625" style="2" customWidth="1"/>
    <col min="3852" max="3852" width="11.42578125" style="2" customWidth="1"/>
    <col min="3853" max="3855" width="9.28515625" style="2" bestFit="1" customWidth="1"/>
    <col min="3856" max="4096" width="9.140625" style="2"/>
    <col min="4097" max="4097" width="10.140625" style="2" bestFit="1" customWidth="1"/>
    <col min="4098" max="4099" width="9.140625" style="2"/>
    <col min="4100" max="4100" width="20.85546875" style="2" customWidth="1"/>
    <col min="4101" max="4101" width="12.85546875" style="2" bestFit="1" customWidth="1"/>
    <col min="4102" max="4102" width="9.140625" style="2"/>
    <col min="4103" max="4103" width="19.85546875" style="2" customWidth="1"/>
    <col min="4104" max="4104" width="14.7109375" style="2" customWidth="1"/>
    <col min="4105" max="4105" width="34" style="2" bestFit="1" customWidth="1"/>
    <col min="4106" max="4106" width="4" style="2" customWidth="1"/>
    <col min="4107" max="4107" width="14.140625" style="2" customWidth="1"/>
    <col min="4108" max="4108" width="11.42578125" style="2" customWidth="1"/>
    <col min="4109" max="4111" width="9.28515625" style="2" bestFit="1" customWidth="1"/>
    <col min="4112" max="4352" width="9.140625" style="2"/>
    <col min="4353" max="4353" width="10.140625" style="2" bestFit="1" customWidth="1"/>
    <col min="4354" max="4355" width="9.140625" style="2"/>
    <col min="4356" max="4356" width="20.85546875" style="2" customWidth="1"/>
    <col min="4357" max="4357" width="12.85546875" style="2" bestFit="1" customWidth="1"/>
    <col min="4358" max="4358" width="9.140625" style="2"/>
    <col min="4359" max="4359" width="19.85546875" style="2" customWidth="1"/>
    <col min="4360" max="4360" width="14.7109375" style="2" customWidth="1"/>
    <col min="4361" max="4361" width="34" style="2" bestFit="1" customWidth="1"/>
    <col min="4362" max="4362" width="4" style="2" customWidth="1"/>
    <col min="4363" max="4363" width="14.140625" style="2" customWidth="1"/>
    <col min="4364" max="4364" width="11.42578125" style="2" customWidth="1"/>
    <col min="4365" max="4367" width="9.28515625" style="2" bestFit="1" customWidth="1"/>
    <col min="4368" max="4608" width="9.140625" style="2"/>
    <col min="4609" max="4609" width="10.140625" style="2" bestFit="1" customWidth="1"/>
    <col min="4610" max="4611" width="9.140625" style="2"/>
    <col min="4612" max="4612" width="20.85546875" style="2" customWidth="1"/>
    <col min="4613" max="4613" width="12.85546875" style="2" bestFit="1" customWidth="1"/>
    <col min="4614" max="4614" width="9.140625" style="2"/>
    <col min="4615" max="4615" width="19.85546875" style="2" customWidth="1"/>
    <col min="4616" max="4616" width="14.7109375" style="2" customWidth="1"/>
    <col min="4617" max="4617" width="34" style="2" bestFit="1" customWidth="1"/>
    <col min="4618" max="4618" width="4" style="2" customWidth="1"/>
    <col min="4619" max="4619" width="14.140625" style="2" customWidth="1"/>
    <col min="4620" max="4620" width="11.42578125" style="2" customWidth="1"/>
    <col min="4621" max="4623" width="9.28515625" style="2" bestFit="1" customWidth="1"/>
    <col min="4624" max="4864" width="9.140625" style="2"/>
    <col min="4865" max="4865" width="10.140625" style="2" bestFit="1" customWidth="1"/>
    <col min="4866" max="4867" width="9.140625" style="2"/>
    <col min="4868" max="4868" width="20.85546875" style="2" customWidth="1"/>
    <col min="4869" max="4869" width="12.85546875" style="2" bestFit="1" customWidth="1"/>
    <col min="4870" max="4870" width="9.140625" style="2"/>
    <col min="4871" max="4871" width="19.85546875" style="2" customWidth="1"/>
    <col min="4872" max="4872" width="14.7109375" style="2" customWidth="1"/>
    <col min="4873" max="4873" width="34" style="2" bestFit="1" customWidth="1"/>
    <col min="4874" max="4874" width="4" style="2" customWidth="1"/>
    <col min="4875" max="4875" width="14.140625" style="2" customWidth="1"/>
    <col min="4876" max="4876" width="11.42578125" style="2" customWidth="1"/>
    <col min="4877" max="4879" width="9.28515625" style="2" bestFit="1" customWidth="1"/>
    <col min="4880" max="5120" width="9.140625" style="2"/>
    <col min="5121" max="5121" width="10.140625" style="2" bestFit="1" customWidth="1"/>
    <col min="5122" max="5123" width="9.140625" style="2"/>
    <col min="5124" max="5124" width="20.85546875" style="2" customWidth="1"/>
    <col min="5125" max="5125" width="12.85546875" style="2" bestFit="1" customWidth="1"/>
    <col min="5126" max="5126" width="9.140625" style="2"/>
    <col min="5127" max="5127" width="19.85546875" style="2" customWidth="1"/>
    <col min="5128" max="5128" width="14.7109375" style="2" customWidth="1"/>
    <col min="5129" max="5129" width="34" style="2" bestFit="1" customWidth="1"/>
    <col min="5130" max="5130" width="4" style="2" customWidth="1"/>
    <col min="5131" max="5131" width="14.140625" style="2" customWidth="1"/>
    <col min="5132" max="5132" width="11.42578125" style="2" customWidth="1"/>
    <col min="5133" max="5135" width="9.28515625" style="2" bestFit="1" customWidth="1"/>
    <col min="5136" max="5376" width="9.140625" style="2"/>
    <col min="5377" max="5377" width="10.140625" style="2" bestFit="1" customWidth="1"/>
    <col min="5378" max="5379" width="9.140625" style="2"/>
    <col min="5380" max="5380" width="20.85546875" style="2" customWidth="1"/>
    <col min="5381" max="5381" width="12.85546875" style="2" bestFit="1" customWidth="1"/>
    <col min="5382" max="5382" width="9.140625" style="2"/>
    <col min="5383" max="5383" width="19.85546875" style="2" customWidth="1"/>
    <col min="5384" max="5384" width="14.7109375" style="2" customWidth="1"/>
    <col min="5385" max="5385" width="34" style="2" bestFit="1" customWidth="1"/>
    <col min="5386" max="5386" width="4" style="2" customWidth="1"/>
    <col min="5387" max="5387" width="14.140625" style="2" customWidth="1"/>
    <col min="5388" max="5388" width="11.42578125" style="2" customWidth="1"/>
    <col min="5389" max="5391" width="9.28515625" style="2" bestFit="1" customWidth="1"/>
    <col min="5392" max="5632" width="9.140625" style="2"/>
    <col min="5633" max="5633" width="10.140625" style="2" bestFit="1" customWidth="1"/>
    <col min="5634" max="5635" width="9.140625" style="2"/>
    <col min="5636" max="5636" width="20.85546875" style="2" customWidth="1"/>
    <col min="5637" max="5637" width="12.85546875" style="2" bestFit="1" customWidth="1"/>
    <col min="5638" max="5638" width="9.140625" style="2"/>
    <col min="5639" max="5639" width="19.85546875" style="2" customWidth="1"/>
    <col min="5640" max="5640" width="14.7109375" style="2" customWidth="1"/>
    <col min="5641" max="5641" width="34" style="2" bestFit="1" customWidth="1"/>
    <col min="5642" max="5642" width="4" style="2" customWidth="1"/>
    <col min="5643" max="5643" width="14.140625" style="2" customWidth="1"/>
    <col min="5644" max="5644" width="11.42578125" style="2" customWidth="1"/>
    <col min="5645" max="5647" width="9.28515625" style="2" bestFit="1" customWidth="1"/>
    <col min="5648" max="5888" width="9.140625" style="2"/>
    <col min="5889" max="5889" width="10.140625" style="2" bestFit="1" customWidth="1"/>
    <col min="5890" max="5891" width="9.140625" style="2"/>
    <col min="5892" max="5892" width="20.85546875" style="2" customWidth="1"/>
    <col min="5893" max="5893" width="12.85546875" style="2" bestFit="1" customWidth="1"/>
    <col min="5894" max="5894" width="9.140625" style="2"/>
    <col min="5895" max="5895" width="19.85546875" style="2" customWidth="1"/>
    <col min="5896" max="5896" width="14.7109375" style="2" customWidth="1"/>
    <col min="5897" max="5897" width="34" style="2" bestFit="1" customWidth="1"/>
    <col min="5898" max="5898" width="4" style="2" customWidth="1"/>
    <col min="5899" max="5899" width="14.140625" style="2" customWidth="1"/>
    <col min="5900" max="5900" width="11.42578125" style="2" customWidth="1"/>
    <col min="5901" max="5903" width="9.28515625" style="2" bestFit="1" customWidth="1"/>
    <col min="5904" max="6144" width="9.140625" style="2"/>
    <col min="6145" max="6145" width="10.140625" style="2" bestFit="1" customWidth="1"/>
    <col min="6146" max="6147" width="9.140625" style="2"/>
    <col min="6148" max="6148" width="20.85546875" style="2" customWidth="1"/>
    <col min="6149" max="6149" width="12.85546875" style="2" bestFit="1" customWidth="1"/>
    <col min="6150" max="6150" width="9.140625" style="2"/>
    <col min="6151" max="6151" width="19.85546875" style="2" customWidth="1"/>
    <col min="6152" max="6152" width="14.7109375" style="2" customWidth="1"/>
    <col min="6153" max="6153" width="34" style="2" bestFit="1" customWidth="1"/>
    <col min="6154" max="6154" width="4" style="2" customWidth="1"/>
    <col min="6155" max="6155" width="14.140625" style="2" customWidth="1"/>
    <col min="6156" max="6156" width="11.42578125" style="2" customWidth="1"/>
    <col min="6157" max="6159" width="9.28515625" style="2" bestFit="1" customWidth="1"/>
    <col min="6160" max="6400" width="9.140625" style="2"/>
    <col min="6401" max="6401" width="10.140625" style="2" bestFit="1" customWidth="1"/>
    <col min="6402" max="6403" width="9.140625" style="2"/>
    <col min="6404" max="6404" width="20.85546875" style="2" customWidth="1"/>
    <col min="6405" max="6405" width="12.85546875" style="2" bestFit="1" customWidth="1"/>
    <col min="6406" max="6406" width="9.140625" style="2"/>
    <col min="6407" max="6407" width="19.85546875" style="2" customWidth="1"/>
    <col min="6408" max="6408" width="14.7109375" style="2" customWidth="1"/>
    <col min="6409" max="6409" width="34" style="2" bestFit="1" customWidth="1"/>
    <col min="6410" max="6410" width="4" style="2" customWidth="1"/>
    <col min="6411" max="6411" width="14.140625" style="2" customWidth="1"/>
    <col min="6412" max="6412" width="11.42578125" style="2" customWidth="1"/>
    <col min="6413" max="6415" width="9.28515625" style="2" bestFit="1" customWidth="1"/>
    <col min="6416" max="6656" width="9.140625" style="2"/>
    <col min="6657" max="6657" width="10.140625" style="2" bestFit="1" customWidth="1"/>
    <col min="6658" max="6659" width="9.140625" style="2"/>
    <col min="6660" max="6660" width="20.85546875" style="2" customWidth="1"/>
    <col min="6661" max="6661" width="12.85546875" style="2" bestFit="1" customWidth="1"/>
    <col min="6662" max="6662" width="9.140625" style="2"/>
    <col min="6663" max="6663" width="19.85546875" style="2" customWidth="1"/>
    <col min="6664" max="6664" width="14.7109375" style="2" customWidth="1"/>
    <col min="6665" max="6665" width="34" style="2" bestFit="1" customWidth="1"/>
    <col min="6666" max="6666" width="4" style="2" customWidth="1"/>
    <col min="6667" max="6667" width="14.140625" style="2" customWidth="1"/>
    <col min="6668" max="6668" width="11.42578125" style="2" customWidth="1"/>
    <col min="6669" max="6671" width="9.28515625" style="2" bestFit="1" customWidth="1"/>
    <col min="6672" max="6912" width="9.140625" style="2"/>
    <col min="6913" max="6913" width="10.140625" style="2" bestFit="1" customWidth="1"/>
    <col min="6914" max="6915" width="9.140625" style="2"/>
    <col min="6916" max="6916" width="20.85546875" style="2" customWidth="1"/>
    <col min="6917" max="6917" width="12.85546875" style="2" bestFit="1" customWidth="1"/>
    <col min="6918" max="6918" width="9.140625" style="2"/>
    <col min="6919" max="6919" width="19.85546875" style="2" customWidth="1"/>
    <col min="6920" max="6920" width="14.7109375" style="2" customWidth="1"/>
    <col min="6921" max="6921" width="34" style="2" bestFit="1" customWidth="1"/>
    <col min="6922" max="6922" width="4" style="2" customWidth="1"/>
    <col min="6923" max="6923" width="14.140625" style="2" customWidth="1"/>
    <col min="6924" max="6924" width="11.42578125" style="2" customWidth="1"/>
    <col min="6925" max="6927" width="9.28515625" style="2" bestFit="1" customWidth="1"/>
    <col min="6928" max="7168" width="9.140625" style="2"/>
    <col min="7169" max="7169" width="10.140625" style="2" bestFit="1" customWidth="1"/>
    <col min="7170" max="7171" width="9.140625" style="2"/>
    <col min="7172" max="7172" width="20.85546875" style="2" customWidth="1"/>
    <col min="7173" max="7173" width="12.85546875" style="2" bestFit="1" customWidth="1"/>
    <col min="7174" max="7174" width="9.140625" style="2"/>
    <col min="7175" max="7175" width="19.85546875" style="2" customWidth="1"/>
    <col min="7176" max="7176" width="14.7109375" style="2" customWidth="1"/>
    <col min="7177" max="7177" width="34" style="2" bestFit="1" customWidth="1"/>
    <col min="7178" max="7178" width="4" style="2" customWidth="1"/>
    <col min="7179" max="7179" width="14.140625" style="2" customWidth="1"/>
    <col min="7180" max="7180" width="11.42578125" style="2" customWidth="1"/>
    <col min="7181" max="7183" width="9.28515625" style="2" bestFit="1" customWidth="1"/>
    <col min="7184" max="7424" width="9.140625" style="2"/>
    <col min="7425" max="7425" width="10.140625" style="2" bestFit="1" customWidth="1"/>
    <col min="7426" max="7427" width="9.140625" style="2"/>
    <col min="7428" max="7428" width="20.85546875" style="2" customWidth="1"/>
    <col min="7429" max="7429" width="12.85546875" style="2" bestFit="1" customWidth="1"/>
    <col min="7430" max="7430" width="9.140625" style="2"/>
    <col min="7431" max="7431" width="19.85546875" style="2" customWidth="1"/>
    <col min="7432" max="7432" width="14.7109375" style="2" customWidth="1"/>
    <col min="7433" max="7433" width="34" style="2" bestFit="1" customWidth="1"/>
    <col min="7434" max="7434" width="4" style="2" customWidth="1"/>
    <col min="7435" max="7435" width="14.140625" style="2" customWidth="1"/>
    <col min="7436" max="7436" width="11.42578125" style="2" customWidth="1"/>
    <col min="7437" max="7439" width="9.28515625" style="2" bestFit="1" customWidth="1"/>
    <col min="7440" max="7680" width="9.140625" style="2"/>
    <col min="7681" max="7681" width="10.140625" style="2" bestFit="1" customWidth="1"/>
    <col min="7682" max="7683" width="9.140625" style="2"/>
    <col min="7684" max="7684" width="20.85546875" style="2" customWidth="1"/>
    <col min="7685" max="7685" width="12.85546875" style="2" bestFit="1" customWidth="1"/>
    <col min="7686" max="7686" width="9.140625" style="2"/>
    <col min="7687" max="7687" width="19.85546875" style="2" customWidth="1"/>
    <col min="7688" max="7688" width="14.7109375" style="2" customWidth="1"/>
    <col min="7689" max="7689" width="34" style="2" bestFit="1" customWidth="1"/>
    <col min="7690" max="7690" width="4" style="2" customWidth="1"/>
    <col min="7691" max="7691" width="14.140625" style="2" customWidth="1"/>
    <col min="7692" max="7692" width="11.42578125" style="2" customWidth="1"/>
    <col min="7693" max="7695" width="9.28515625" style="2" bestFit="1" customWidth="1"/>
    <col min="7696" max="7936" width="9.140625" style="2"/>
    <col min="7937" max="7937" width="10.140625" style="2" bestFit="1" customWidth="1"/>
    <col min="7938" max="7939" width="9.140625" style="2"/>
    <col min="7940" max="7940" width="20.85546875" style="2" customWidth="1"/>
    <col min="7941" max="7941" width="12.85546875" style="2" bestFit="1" customWidth="1"/>
    <col min="7942" max="7942" width="9.140625" style="2"/>
    <col min="7943" max="7943" width="19.85546875" style="2" customWidth="1"/>
    <col min="7944" max="7944" width="14.7109375" style="2" customWidth="1"/>
    <col min="7945" max="7945" width="34" style="2" bestFit="1" customWidth="1"/>
    <col min="7946" max="7946" width="4" style="2" customWidth="1"/>
    <col min="7947" max="7947" width="14.140625" style="2" customWidth="1"/>
    <col min="7948" max="7948" width="11.42578125" style="2" customWidth="1"/>
    <col min="7949" max="7951" width="9.28515625" style="2" bestFit="1" customWidth="1"/>
    <col min="7952" max="8192" width="9.140625" style="2"/>
    <col min="8193" max="8193" width="10.140625" style="2" bestFit="1" customWidth="1"/>
    <col min="8194" max="8195" width="9.140625" style="2"/>
    <col min="8196" max="8196" width="20.85546875" style="2" customWidth="1"/>
    <col min="8197" max="8197" width="12.85546875" style="2" bestFit="1" customWidth="1"/>
    <col min="8198" max="8198" width="9.140625" style="2"/>
    <col min="8199" max="8199" width="19.85546875" style="2" customWidth="1"/>
    <col min="8200" max="8200" width="14.7109375" style="2" customWidth="1"/>
    <col min="8201" max="8201" width="34" style="2" bestFit="1" customWidth="1"/>
    <col min="8202" max="8202" width="4" style="2" customWidth="1"/>
    <col min="8203" max="8203" width="14.140625" style="2" customWidth="1"/>
    <col min="8204" max="8204" width="11.42578125" style="2" customWidth="1"/>
    <col min="8205" max="8207" width="9.28515625" style="2" bestFit="1" customWidth="1"/>
    <col min="8208" max="8448" width="9.140625" style="2"/>
    <col min="8449" max="8449" width="10.140625" style="2" bestFit="1" customWidth="1"/>
    <col min="8450" max="8451" width="9.140625" style="2"/>
    <col min="8452" max="8452" width="20.85546875" style="2" customWidth="1"/>
    <col min="8453" max="8453" width="12.85546875" style="2" bestFit="1" customWidth="1"/>
    <col min="8454" max="8454" width="9.140625" style="2"/>
    <col min="8455" max="8455" width="19.85546875" style="2" customWidth="1"/>
    <col min="8456" max="8456" width="14.7109375" style="2" customWidth="1"/>
    <col min="8457" max="8457" width="34" style="2" bestFit="1" customWidth="1"/>
    <col min="8458" max="8458" width="4" style="2" customWidth="1"/>
    <col min="8459" max="8459" width="14.140625" style="2" customWidth="1"/>
    <col min="8460" max="8460" width="11.42578125" style="2" customWidth="1"/>
    <col min="8461" max="8463" width="9.28515625" style="2" bestFit="1" customWidth="1"/>
    <col min="8464" max="8704" width="9.140625" style="2"/>
    <col min="8705" max="8705" width="10.140625" style="2" bestFit="1" customWidth="1"/>
    <col min="8706" max="8707" width="9.140625" style="2"/>
    <col min="8708" max="8708" width="20.85546875" style="2" customWidth="1"/>
    <col min="8709" max="8709" width="12.85546875" style="2" bestFit="1" customWidth="1"/>
    <col min="8710" max="8710" width="9.140625" style="2"/>
    <col min="8711" max="8711" width="19.85546875" style="2" customWidth="1"/>
    <col min="8712" max="8712" width="14.7109375" style="2" customWidth="1"/>
    <col min="8713" max="8713" width="34" style="2" bestFit="1" customWidth="1"/>
    <col min="8714" max="8714" width="4" style="2" customWidth="1"/>
    <col min="8715" max="8715" width="14.140625" style="2" customWidth="1"/>
    <col min="8716" max="8716" width="11.42578125" style="2" customWidth="1"/>
    <col min="8717" max="8719" width="9.28515625" style="2" bestFit="1" customWidth="1"/>
    <col min="8720" max="8960" width="9.140625" style="2"/>
    <col min="8961" max="8961" width="10.140625" style="2" bestFit="1" customWidth="1"/>
    <col min="8962" max="8963" width="9.140625" style="2"/>
    <col min="8964" max="8964" width="20.85546875" style="2" customWidth="1"/>
    <col min="8965" max="8965" width="12.85546875" style="2" bestFit="1" customWidth="1"/>
    <col min="8966" max="8966" width="9.140625" style="2"/>
    <col min="8967" max="8967" width="19.85546875" style="2" customWidth="1"/>
    <col min="8968" max="8968" width="14.7109375" style="2" customWidth="1"/>
    <col min="8969" max="8969" width="34" style="2" bestFit="1" customWidth="1"/>
    <col min="8970" max="8970" width="4" style="2" customWidth="1"/>
    <col min="8971" max="8971" width="14.140625" style="2" customWidth="1"/>
    <col min="8972" max="8972" width="11.42578125" style="2" customWidth="1"/>
    <col min="8973" max="8975" width="9.28515625" style="2" bestFit="1" customWidth="1"/>
    <col min="8976" max="9216" width="9.140625" style="2"/>
    <col min="9217" max="9217" width="10.140625" style="2" bestFit="1" customWidth="1"/>
    <col min="9218" max="9219" width="9.140625" style="2"/>
    <col min="9220" max="9220" width="20.85546875" style="2" customWidth="1"/>
    <col min="9221" max="9221" width="12.85546875" style="2" bestFit="1" customWidth="1"/>
    <col min="9222" max="9222" width="9.140625" style="2"/>
    <col min="9223" max="9223" width="19.85546875" style="2" customWidth="1"/>
    <col min="9224" max="9224" width="14.7109375" style="2" customWidth="1"/>
    <col min="9225" max="9225" width="34" style="2" bestFit="1" customWidth="1"/>
    <col min="9226" max="9226" width="4" style="2" customWidth="1"/>
    <col min="9227" max="9227" width="14.140625" style="2" customWidth="1"/>
    <col min="9228" max="9228" width="11.42578125" style="2" customWidth="1"/>
    <col min="9229" max="9231" width="9.28515625" style="2" bestFit="1" customWidth="1"/>
    <col min="9232" max="9472" width="9.140625" style="2"/>
    <col min="9473" max="9473" width="10.140625" style="2" bestFit="1" customWidth="1"/>
    <col min="9474" max="9475" width="9.140625" style="2"/>
    <col min="9476" max="9476" width="20.85546875" style="2" customWidth="1"/>
    <col min="9477" max="9477" width="12.85546875" style="2" bestFit="1" customWidth="1"/>
    <col min="9478" max="9478" width="9.140625" style="2"/>
    <col min="9479" max="9479" width="19.85546875" style="2" customWidth="1"/>
    <col min="9480" max="9480" width="14.7109375" style="2" customWidth="1"/>
    <col min="9481" max="9481" width="34" style="2" bestFit="1" customWidth="1"/>
    <col min="9482" max="9482" width="4" style="2" customWidth="1"/>
    <col min="9483" max="9483" width="14.140625" style="2" customWidth="1"/>
    <col min="9484" max="9484" width="11.42578125" style="2" customWidth="1"/>
    <col min="9485" max="9487" width="9.28515625" style="2" bestFit="1" customWidth="1"/>
    <col min="9488" max="9728" width="9.140625" style="2"/>
    <col min="9729" max="9729" width="10.140625" style="2" bestFit="1" customWidth="1"/>
    <col min="9730" max="9731" width="9.140625" style="2"/>
    <col min="9732" max="9732" width="20.85546875" style="2" customWidth="1"/>
    <col min="9733" max="9733" width="12.85546875" style="2" bestFit="1" customWidth="1"/>
    <col min="9734" max="9734" width="9.140625" style="2"/>
    <col min="9735" max="9735" width="19.85546875" style="2" customWidth="1"/>
    <col min="9736" max="9736" width="14.7109375" style="2" customWidth="1"/>
    <col min="9737" max="9737" width="34" style="2" bestFit="1" customWidth="1"/>
    <col min="9738" max="9738" width="4" style="2" customWidth="1"/>
    <col min="9739" max="9739" width="14.140625" style="2" customWidth="1"/>
    <col min="9740" max="9740" width="11.42578125" style="2" customWidth="1"/>
    <col min="9741" max="9743" width="9.28515625" style="2" bestFit="1" customWidth="1"/>
    <col min="9744" max="9984" width="9.140625" style="2"/>
    <col min="9985" max="9985" width="10.140625" style="2" bestFit="1" customWidth="1"/>
    <col min="9986" max="9987" width="9.140625" style="2"/>
    <col min="9988" max="9988" width="20.85546875" style="2" customWidth="1"/>
    <col min="9989" max="9989" width="12.85546875" style="2" bestFit="1" customWidth="1"/>
    <col min="9990" max="9990" width="9.140625" style="2"/>
    <col min="9991" max="9991" width="19.85546875" style="2" customWidth="1"/>
    <col min="9992" max="9992" width="14.7109375" style="2" customWidth="1"/>
    <col min="9993" max="9993" width="34" style="2" bestFit="1" customWidth="1"/>
    <col min="9994" max="9994" width="4" style="2" customWidth="1"/>
    <col min="9995" max="9995" width="14.140625" style="2" customWidth="1"/>
    <col min="9996" max="9996" width="11.42578125" style="2" customWidth="1"/>
    <col min="9997" max="9999" width="9.28515625" style="2" bestFit="1" customWidth="1"/>
    <col min="10000" max="10240" width="9.140625" style="2"/>
    <col min="10241" max="10241" width="10.140625" style="2" bestFit="1" customWidth="1"/>
    <col min="10242" max="10243" width="9.140625" style="2"/>
    <col min="10244" max="10244" width="20.85546875" style="2" customWidth="1"/>
    <col min="10245" max="10245" width="12.85546875" style="2" bestFit="1" customWidth="1"/>
    <col min="10246" max="10246" width="9.140625" style="2"/>
    <col min="10247" max="10247" width="19.85546875" style="2" customWidth="1"/>
    <col min="10248" max="10248" width="14.7109375" style="2" customWidth="1"/>
    <col min="10249" max="10249" width="34" style="2" bestFit="1" customWidth="1"/>
    <col min="10250" max="10250" width="4" style="2" customWidth="1"/>
    <col min="10251" max="10251" width="14.140625" style="2" customWidth="1"/>
    <col min="10252" max="10252" width="11.42578125" style="2" customWidth="1"/>
    <col min="10253" max="10255" width="9.28515625" style="2" bestFit="1" customWidth="1"/>
    <col min="10256" max="10496" width="9.140625" style="2"/>
    <col min="10497" max="10497" width="10.140625" style="2" bestFit="1" customWidth="1"/>
    <col min="10498" max="10499" width="9.140625" style="2"/>
    <col min="10500" max="10500" width="20.85546875" style="2" customWidth="1"/>
    <col min="10501" max="10501" width="12.85546875" style="2" bestFit="1" customWidth="1"/>
    <col min="10502" max="10502" width="9.140625" style="2"/>
    <col min="10503" max="10503" width="19.85546875" style="2" customWidth="1"/>
    <col min="10504" max="10504" width="14.7109375" style="2" customWidth="1"/>
    <col min="10505" max="10505" width="34" style="2" bestFit="1" customWidth="1"/>
    <col min="10506" max="10506" width="4" style="2" customWidth="1"/>
    <col min="10507" max="10507" width="14.140625" style="2" customWidth="1"/>
    <col min="10508" max="10508" width="11.42578125" style="2" customWidth="1"/>
    <col min="10509" max="10511" width="9.28515625" style="2" bestFit="1" customWidth="1"/>
    <col min="10512" max="10752" width="9.140625" style="2"/>
    <col min="10753" max="10753" width="10.140625" style="2" bestFit="1" customWidth="1"/>
    <col min="10754" max="10755" width="9.140625" style="2"/>
    <col min="10756" max="10756" width="20.85546875" style="2" customWidth="1"/>
    <col min="10757" max="10757" width="12.85546875" style="2" bestFit="1" customWidth="1"/>
    <col min="10758" max="10758" width="9.140625" style="2"/>
    <col min="10759" max="10759" width="19.85546875" style="2" customWidth="1"/>
    <col min="10760" max="10760" width="14.7109375" style="2" customWidth="1"/>
    <col min="10761" max="10761" width="34" style="2" bestFit="1" customWidth="1"/>
    <col min="10762" max="10762" width="4" style="2" customWidth="1"/>
    <col min="10763" max="10763" width="14.140625" style="2" customWidth="1"/>
    <col min="10764" max="10764" width="11.42578125" style="2" customWidth="1"/>
    <col min="10765" max="10767" width="9.28515625" style="2" bestFit="1" customWidth="1"/>
    <col min="10768" max="11008" width="9.140625" style="2"/>
    <col min="11009" max="11009" width="10.140625" style="2" bestFit="1" customWidth="1"/>
    <col min="11010" max="11011" width="9.140625" style="2"/>
    <col min="11012" max="11012" width="20.85546875" style="2" customWidth="1"/>
    <col min="11013" max="11013" width="12.85546875" style="2" bestFit="1" customWidth="1"/>
    <col min="11014" max="11014" width="9.140625" style="2"/>
    <col min="11015" max="11015" width="19.85546875" style="2" customWidth="1"/>
    <col min="11016" max="11016" width="14.7109375" style="2" customWidth="1"/>
    <col min="11017" max="11017" width="34" style="2" bestFit="1" customWidth="1"/>
    <col min="11018" max="11018" width="4" style="2" customWidth="1"/>
    <col min="11019" max="11019" width="14.140625" style="2" customWidth="1"/>
    <col min="11020" max="11020" width="11.42578125" style="2" customWidth="1"/>
    <col min="11021" max="11023" width="9.28515625" style="2" bestFit="1" customWidth="1"/>
    <col min="11024" max="11264" width="9.140625" style="2"/>
    <col min="11265" max="11265" width="10.140625" style="2" bestFit="1" customWidth="1"/>
    <col min="11266" max="11267" width="9.140625" style="2"/>
    <col min="11268" max="11268" width="20.85546875" style="2" customWidth="1"/>
    <col min="11269" max="11269" width="12.85546875" style="2" bestFit="1" customWidth="1"/>
    <col min="11270" max="11270" width="9.140625" style="2"/>
    <col min="11271" max="11271" width="19.85546875" style="2" customWidth="1"/>
    <col min="11272" max="11272" width="14.7109375" style="2" customWidth="1"/>
    <col min="11273" max="11273" width="34" style="2" bestFit="1" customWidth="1"/>
    <col min="11274" max="11274" width="4" style="2" customWidth="1"/>
    <col min="11275" max="11275" width="14.140625" style="2" customWidth="1"/>
    <col min="11276" max="11276" width="11.42578125" style="2" customWidth="1"/>
    <col min="11277" max="11279" width="9.28515625" style="2" bestFit="1" customWidth="1"/>
    <col min="11280" max="11520" width="9.140625" style="2"/>
    <col min="11521" max="11521" width="10.140625" style="2" bestFit="1" customWidth="1"/>
    <col min="11522" max="11523" width="9.140625" style="2"/>
    <col min="11524" max="11524" width="20.85546875" style="2" customWidth="1"/>
    <col min="11525" max="11525" width="12.85546875" style="2" bestFit="1" customWidth="1"/>
    <col min="11526" max="11526" width="9.140625" style="2"/>
    <col min="11527" max="11527" width="19.85546875" style="2" customWidth="1"/>
    <col min="11528" max="11528" width="14.7109375" style="2" customWidth="1"/>
    <col min="11529" max="11529" width="34" style="2" bestFit="1" customWidth="1"/>
    <col min="11530" max="11530" width="4" style="2" customWidth="1"/>
    <col min="11531" max="11531" width="14.140625" style="2" customWidth="1"/>
    <col min="11532" max="11532" width="11.42578125" style="2" customWidth="1"/>
    <col min="11533" max="11535" width="9.28515625" style="2" bestFit="1" customWidth="1"/>
    <col min="11536" max="11776" width="9.140625" style="2"/>
    <col min="11777" max="11777" width="10.140625" style="2" bestFit="1" customWidth="1"/>
    <col min="11778" max="11779" width="9.140625" style="2"/>
    <col min="11780" max="11780" width="20.85546875" style="2" customWidth="1"/>
    <col min="11781" max="11781" width="12.85546875" style="2" bestFit="1" customWidth="1"/>
    <col min="11782" max="11782" width="9.140625" style="2"/>
    <col min="11783" max="11783" width="19.85546875" style="2" customWidth="1"/>
    <col min="11784" max="11784" width="14.7109375" style="2" customWidth="1"/>
    <col min="11785" max="11785" width="34" style="2" bestFit="1" customWidth="1"/>
    <col min="11786" max="11786" width="4" style="2" customWidth="1"/>
    <col min="11787" max="11787" width="14.140625" style="2" customWidth="1"/>
    <col min="11788" max="11788" width="11.42578125" style="2" customWidth="1"/>
    <col min="11789" max="11791" width="9.28515625" style="2" bestFit="1" customWidth="1"/>
    <col min="11792" max="12032" width="9.140625" style="2"/>
    <col min="12033" max="12033" width="10.140625" style="2" bestFit="1" customWidth="1"/>
    <col min="12034" max="12035" width="9.140625" style="2"/>
    <col min="12036" max="12036" width="20.85546875" style="2" customWidth="1"/>
    <col min="12037" max="12037" width="12.85546875" style="2" bestFit="1" customWidth="1"/>
    <col min="12038" max="12038" width="9.140625" style="2"/>
    <col min="12039" max="12039" width="19.85546875" style="2" customWidth="1"/>
    <col min="12040" max="12040" width="14.7109375" style="2" customWidth="1"/>
    <col min="12041" max="12041" width="34" style="2" bestFit="1" customWidth="1"/>
    <col min="12042" max="12042" width="4" style="2" customWidth="1"/>
    <col min="12043" max="12043" width="14.140625" style="2" customWidth="1"/>
    <col min="12044" max="12044" width="11.42578125" style="2" customWidth="1"/>
    <col min="12045" max="12047" width="9.28515625" style="2" bestFit="1" customWidth="1"/>
    <col min="12048" max="12288" width="9.140625" style="2"/>
    <col min="12289" max="12289" width="10.140625" style="2" bestFit="1" customWidth="1"/>
    <col min="12290" max="12291" width="9.140625" style="2"/>
    <col min="12292" max="12292" width="20.85546875" style="2" customWidth="1"/>
    <col min="12293" max="12293" width="12.85546875" style="2" bestFit="1" customWidth="1"/>
    <col min="12294" max="12294" width="9.140625" style="2"/>
    <col min="12295" max="12295" width="19.85546875" style="2" customWidth="1"/>
    <col min="12296" max="12296" width="14.7109375" style="2" customWidth="1"/>
    <col min="12297" max="12297" width="34" style="2" bestFit="1" customWidth="1"/>
    <col min="12298" max="12298" width="4" style="2" customWidth="1"/>
    <col min="12299" max="12299" width="14.140625" style="2" customWidth="1"/>
    <col min="12300" max="12300" width="11.42578125" style="2" customWidth="1"/>
    <col min="12301" max="12303" width="9.28515625" style="2" bestFit="1" customWidth="1"/>
    <col min="12304" max="12544" width="9.140625" style="2"/>
    <col min="12545" max="12545" width="10.140625" style="2" bestFit="1" customWidth="1"/>
    <col min="12546" max="12547" width="9.140625" style="2"/>
    <col min="12548" max="12548" width="20.85546875" style="2" customWidth="1"/>
    <col min="12549" max="12549" width="12.85546875" style="2" bestFit="1" customWidth="1"/>
    <col min="12550" max="12550" width="9.140625" style="2"/>
    <col min="12551" max="12551" width="19.85546875" style="2" customWidth="1"/>
    <col min="12552" max="12552" width="14.7109375" style="2" customWidth="1"/>
    <col min="12553" max="12553" width="34" style="2" bestFit="1" customWidth="1"/>
    <col min="12554" max="12554" width="4" style="2" customWidth="1"/>
    <col min="12555" max="12555" width="14.140625" style="2" customWidth="1"/>
    <col min="12556" max="12556" width="11.42578125" style="2" customWidth="1"/>
    <col min="12557" max="12559" width="9.28515625" style="2" bestFit="1" customWidth="1"/>
    <col min="12560" max="12800" width="9.140625" style="2"/>
    <col min="12801" max="12801" width="10.140625" style="2" bestFit="1" customWidth="1"/>
    <col min="12802" max="12803" width="9.140625" style="2"/>
    <col min="12804" max="12804" width="20.85546875" style="2" customWidth="1"/>
    <col min="12805" max="12805" width="12.85546875" style="2" bestFit="1" customWidth="1"/>
    <col min="12806" max="12806" width="9.140625" style="2"/>
    <col min="12807" max="12807" width="19.85546875" style="2" customWidth="1"/>
    <col min="12808" max="12808" width="14.7109375" style="2" customWidth="1"/>
    <col min="12809" max="12809" width="34" style="2" bestFit="1" customWidth="1"/>
    <col min="12810" max="12810" width="4" style="2" customWidth="1"/>
    <col min="12811" max="12811" width="14.140625" style="2" customWidth="1"/>
    <col min="12812" max="12812" width="11.42578125" style="2" customWidth="1"/>
    <col min="12813" max="12815" width="9.28515625" style="2" bestFit="1" customWidth="1"/>
    <col min="12816" max="13056" width="9.140625" style="2"/>
    <col min="13057" max="13057" width="10.140625" style="2" bestFit="1" customWidth="1"/>
    <col min="13058" max="13059" width="9.140625" style="2"/>
    <col min="13060" max="13060" width="20.85546875" style="2" customWidth="1"/>
    <col min="13061" max="13061" width="12.85546875" style="2" bestFit="1" customWidth="1"/>
    <col min="13062" max="13062" width="9.140625" style="2"/>
    <col min="13063" max="13063" width="19.85546875" style="2" customWidth="1"/>
    <col min="13064" max="13064" width="14.7109375" style="2" customWidth="1"/>
    <col min="13065" max="13065" width="34" style="2" bestFit="1" customWidth="1"/>
    <col min="13066" max="13066" width="4" style="2" customWidth="1"/>
    <col min="13067" max="13067" width="14.140625" style="2" customWidth="1"/>
    <col min="13068" max="13068" width="11.42578125" style="2" customWidth="1"/>
    <col min="13069" max="13071" width="9.28515625" style="2" bestFit="1" customWidth="1"/>
    <col min="13072" max="13312" width="9.140625" style="2"/>
    <col min="13313" max="13313" width="10.140625" style="2" bestFit="1" customWidth="1"/>
    <col min="13314" max="13315" width="9.140625" style="2"/>
    <col min="13316" max="13316" width="20.85546875" style="2" customWidth="1"/>
    <col min="13317" max="13317" width="12.85546875" style="2" bestFit="1" customWidth="1"/>
    <col min="13318" max="13318" width="9.140625" style="2"/>
    <col min="13319" max="13319" width="19.85546875" style="2" customWidth="1"/>
    <col min="13320" max="13320" width="14.7109375" style="2" customWidth="1"/>
    <col min="13321" max="13321" width="34" style="2" bestFit="1" customWidth="1"/>
    <col min="13322" max="13322" width="4" style="2" customWidth="1"/>
    <col min="13323" max="13323" width="14.140625" style="2" customWidth="1"/>
    <col min="13324" max="13324" width="11.42578125" style="2" customWidth="1"/>
    <col min="13325" max="13327" width="9.28515625" style="2" bestFit="1" customWidth="1"/>
    <col min="13328" max="13568" width="9.140625" style="2"/>
    <col min="13569" max="13569" width="10.140625" style="2" bestFit="1" customWidth="1"/>
    <col min="13570" max="13571" width="9.140625" style="2"/>
    <col min="13572" max="13572" width="20.85546875" style="2" customWidth="1"/>
    <col min="13573" max="13573" width="12.85546875" style="2" bestFit="1" customWidth="1"/>
    <col min="13574" max="13574" width="9.140625" style="2"/>
    <col min="13575" max="13575" width="19.85546875" style="2" customWidth="1"/>
    <col min="13576" max="13576" width="14.7109375" style="2" customWidth="1"/>
    <col min="13577" max="13577" width="34" style="2" bestFit="1" customWidth="1"/>
    <col min="13578" max="13578" width="4" style="2" customWidth="1"/>
    <col min="13579" max="13579" width="14.140625" style="2" customWidth="1"/>
    <col min="13580" max="13580" width="11.42578125" style="2" customWidth="1"/>
    <col min="13581" max="13583" width="9.28515625" style="2" bestFit="1" customWidth="1"/>
    <col min="13584" max="13824" width="9.140625" style="2"/>
    <col min="13825" max="13825" width="10.140625" style="2" bestFit="1" customWidth="1"/>
    <col min="13826" max="13827" width="9.140625" style="2"/>
    <col min="13828" max="13828" width="20.85546875" style="2" customWidth="1"/>
    <col min="13829" max="13829" width="12.85546875" style="2" bestFit="1" customWidth="1"/>
    <col min="13830" max="13830" width="9.140625" style="2"/>
    <col min="13831" max="13831" width="19.85546875" style="2" customWidth="1"/>
    <col min="13832" max="13832" width="14.7109375" style="2" customWidth="1"/>
    <col min="13833" max="13833" width="34" style="2" bestFit="1" customWidth="1"/>
    <col min="13834" max="13834" width="4" style="2" customWidth="1"/>
    <col min="13835" max="13835" width="14.140625" style="2" customWidth="1"/>
    <col min="13836" max="13836" width="11.42578125" style="2" customWidth="1"/>
    <col min="13837" max="13839" width="9.28515625" style="2" bestFit="1" customWidth="1"/>
    <col min="13840" max="14080" width="9.140625" style="2"/>
    <col min="14081" max="14081" width="10.140625" style="2" bestFit="1" customWidth="1"/>
    <col min="14082" max="14083" width="9.140625" style="2"/>
    <col min="14084" max="14084" width="20.85546875" style="2" customWidth="1"/>
    <col min="14085" max="14085" width="12.85546875" style="2" bestFit="1" customWidth="1"/>
    <col min="14086" max="14086" width="9.140625" style="2"/>
    <col min="14087" max="14087" width="19.85546875" style="2" customWidth="1"/>
    <col min="14088" max="14088" width="14.7109375" style="2" customWidth="1"/>
    <col min="14089" max="14089" width="34" style="2" bestFit="1" customWidth="1"/>
    <col min="14090" max="14090" width="4" style="2" customWidth="1"/>
    <col min="14091" max="14091" width="14.140625" style="2" customWidth="1"/>
    <col min="14092" max="14092" width="11.42578125" style="2" customWidth="1"/>
    <col min="14093" max="14095" width="9.28515625" style="2" bestFit="1" customWidth="1"/>
    <col min="14096" max="14336" width="9.140625" style="2"/>
    <col min="14337" max="14337" width="10.140625" style="2" bestFit="1" customWidth="1"/>
    <col min="14338" max="14339" width="9.140625" style="2"/>
    <col min="14340" max="14340" width="20.85546875" style="2" customWidth="1"/>
    <col min="14341" max="14341" width="12.85546875" style="2" bestFit="1" customWidth="1"/>
    <col min="14342" max="14342" width="9.140625" style="2"/>
    <col min="14343" max="14343" width="19.85546875" style="2" customWidth="1"/>
    <col min="14344" max="14344" width="14.7109375" style="2" customWidth="1"/>
    <col min="14345" max="14345" width="34" style="2" bestFit="1" customWidth="1"/>
    <col min="14346" max="14346" width="4" style="2" customWidth="1"/>
    <col min="14347" max="14347" width="14.140625" style="2" customWidth="1"/>
    <col min="14348" max="14348" width="11.42578125" style="2" customWidth="1"/>
    <col min="14349" max="14351" width="9.28515625" style="2" bestFit="1" customWidth="1"/>
    <col min="14352" max="14592" width="9.140625" style="2"/>
    <col min="14593" max="14593" width="10.140625" style="2" bestFit="1" customWidth="1"/>
    <col min="14594" max="14595" width="9.140625" style="2"/>
    <col min="14596" max="14596" width="20.85546875" style="2" customWidth="1"/>
    <col min="14597" max="14597" width="12.85546875" style="2" bestFit="1" customWidth="1"/>
    <col min="14598" max="14598" width="9.140625" style="2"/>
    <col min="14599" max="14599" width="19.85546875" style="2" customWidth="1"/>
    <col min="14600" max="14600" width="14.7109375" style="2" customWidth="1"/>
    <col min="14601" max="14601" width="34" style="2" bestFit="1" customWidth="1"/>
    <col min="14602" max="14602" width="4" style="2" customWidth="1"/>
    <col min="14603" max="14603" width="14.140625" style="2" customWidth="1"/>
    <col min="14604" max="14604" width="11.42578125" style="2" customWidth="1"/>
    <col min="14605" max="14607" width="9.28515625" style="2" bestFit="1" customWidth="1"/>
    <col min="14608" max="14848" width="9.140625" style="2"/>
    <col min="14849" max="14849" width="10.140625" style="2" bestFit="1" customWidth="1"/>
    <col min="14850" max="14851" width="9.140625" style="2"/>
    <col min="14852" max="14852" width="20.85546875" style="2" customWidth="1"/>
    <col min="14853" max="14853" width="12.85546875" style="2" bestFit="1" customWidth="1"/>
    <col min="14854" max="14854" width="9.140625" style="2"/>
    <col min="14855" max="14855" width="19.85546875" style="2" customWidth="1"/>
    <col min="14856" max="14856" width="14.7109375" style="2" customWidth="1"/>
    <col min="14857" max="14857" width="34" style="2" bestFit="1" customWidth="1"/>
    <col min="14858" max="14858" width="4" style="2" customWidth="1"/>
    <col min="14859" max="14859" width="14.140625" style="2" customWidth="1"/>
    <col min="14860" max="14860" width="11.42578125" style="2" customWidth="1"/>
    <col min="14861" max="14863" width="9.28515625" style="2" bestFit="1" customWidth="1"/>
    <col min="14864" max="15104" width="9.140625" style="2"/>
    <col min="15105" max="15105" width="10.140625" style="2" bestFit="1" customWidth="1"/>
    <col min="15106" max="15107" width="9.140625" style="2"/>
    <col min="15108" max="15108" width="20.85546875" style="2" customWidth="1"/>
    <col min="15109" max="15109" width="12.85546875" style="2" bestFit="1" customWidth="1"/>
    <col min="15110" max="15110" width="9.140625" style="2"/>
    <col min="15111" max="15111" width="19.85546875" style="2" customWidth="1"/>
    <col min="15112" max="15112" width="14.7109375" style="2" customWidth="1"/>
    <col min="15113" max="15113" width="34" style="2" bestFit="1" customWidth="1"/>
    <col min="15114" max="15114" width="4" style="2" customWidth="1"/>
    <col min="15115" max="15115" width="14.140625" style="2" customWidth="1"/>
    <col min="15116" max="15116" width="11.42578125" style="2" customWidth="1"/>
    <col min="15117" max="15119" width="9.28515625" style="2" bestFit="1" customWidth="1"/>
    <col min="15120" max="15360" width="9.140625" style="2"/>
    <col min="15361" max="15361" width="10.140625" style="2" bestFit="1" customWidth="1"/>
    <col min="15362" max="15363" width="9.140625" style="2"/>
    <col min="15364" max="15364" width="20.85546875" style="2" customWidth="1"/>
    <col min="15365" max="15365" width="12.85546875" style="2" bestFit="1" customWidth="1"/>
    <col min="15366" max="15366" width="9.140625" style="2"/>
    <col min="15367" max="15367" width="19.85546875" style="2" customWidth="1"/>
    <col min="15368" max="15368" width="14.7109375" style="2" customWidth="1"/>
    <col min="15369" max="15369" width="34" style="2" bestFit="1" customWidth="1"/>
    <col min="15370" max="15370" width="4" style="2" customWidth="1"/>
    <col min="15371" max="15371" width="14.140625" style="2" customWidth="1"/>
    <col min="15372" max="15372" width="11.42578125" style="2" customWidth="1"/>
    <col min="15373" max="15375" width="9.28515625" style="2" bestFit="1" customWidth="1"/>
    <col min="15376" max="15616" width="9.140625" style="2"/>
    <col min="15617" max="15617" width="10.140625" style="2" bestFit="1" customWidth="1"/>
    <col min="15618" max="15619" width="9.140625" style="2"/>
    <col min="15620" max="15620" width="20.85546875" style="2" customWidth="1"/>
    <col min="15621" max="15621" width="12.85546875" style="2" bestFit="1" customWidth="1"/>
    <col min="15622" max="15622" width="9.140625" style="2"/>
    <col min="15623" max="15623" width="19.85546875" style="2" customWidth="1"/>
    <col min="15624" max="15624" width="14.7109375" style="2" customWidth="1"/>
    <col min="15625" max="15625" width="34" style="2" bestFit="1" customWidth="1"/>
    <col min="15626" max="15626" width="4" style="2" customWidth="1"/>
    <col min="15627" max="15627" width="14.140625" style="2" customWidth="1"/>
    <col min="15628" max="15628" width="11.42578125" style="2" customWidth="1"/>
    <col min="15629" max="15631" width="9.28515625" style="2" bestFit="1" customWidth="1"/>
    <col min="15632" max="15872" width="9.140625" style="2"/>
    <col min="15873" max="15873" width="10.140625" style="2" bestFit="1" customWidth="1"/>
    <col min="15874" max="15875" width="9.140625" style="2"/>
    <col min="15876" max="15876" width="20.85546875" style="2" customWidth="1"/>
    <col min="15877" max="15877" width="12.85546875" style="2" bestFit="1" customWidth="1"/>
    <col min="15878" max="15878" width="9.140625" style="2"/>
    <col min="15879" max="15879" width="19.85546875" style="2" customWidth="1"/>
    <col min="15880" max="15880" width="14.7109375" style="2" customWidth="1"/>
    <col min="15881" max="15881" width="34" style="2" bestFit="1" customWidth="1"/>
    <col min="15882" max="15882" width="4" style="2" customWidth="1"/>
    <col min="15883" max="15883" width="14.140625" style="2" customWidth="1"/>
    <col min="15884" max="15884" width="11.42578125" style="2" customWidth="1"/>
    <col min="15885" max="15887" width="9.28515625" style="2" bestFit="1" customWidth="1"/>
    <col min="15888" max="16128" width="9.140625" style="2"/>
    <col min="16129" max="16129" width="10.140625" style="2" bestFit="1" customWidth="1"/>
    <col min="16130" max="16131" width="9.140625" style="2"/>
    <col min="16132" max="16132" width="20.85546875" style="2" customWidth="1"/>
    <col min="16133" max="16133" width="12.85546875" style="2" bestFit="1" customWidth="1"/>
    <col min="16134" max="16134" width="9.140625" style="2"/>
    <col min="16135" max="16135" width="19.85546875" style="2" customWidth="1"/>
    <col min="16136" max="16136" width="14.7109375" style="2" customWidth="1"/>
    <col min="16137" max="16137" width="34" style="2" bestFit="1" customWidth="1"/>
    <col min="16138" max="16138" width="4" style="2" customWidth="1"/>
    <col min="16139" max="16139" width="14.140625" style="2" customWidth="1"/>
    <col min="16140" max="16140" width="11.42578125" style="2" customWidth="1"/>
    <col min="16141" max="16143" width="9.28515625" style="2" bestFit="1" customWidth="1"/>
    <col min="16144" max="16384" width="9.140625" style="2"/>
  </cols>
  <sheetData>
    <row r="1" spans="1:9" ht="33.75" customHeight="1" thickBot="1" x14ac:dyDescent="0.3">
      <c r="A1" s="360" t="s">
        <v>158</v>
      </c>
      <c r="B1" s="361"/>
      <c r="C1" s="361"/>
      <c r="D1" s="361"/>
      <c r="E1" s="361"/>
      <c r="F1" s="361"/>
      <c r="G1" s="361"/>
      <c r="H1" s="361"/>
      <c r="I1" s="362"/>
    </row>
    <row r="2" spans="1:9" ht="8.1" customHeight="1" thickBot="1" x14ac:dyDescent="0.3">
      <c r="A2" s="312"/>
      <c r="B2" s="313"/>
      <c r="C2" s="313"/>
      <c r="D2" s="313"/>
      <c r="E2" s="313"/>
      <c r="F2" s="313"/>
      <c r="G2" s="313"/>
      <c r="H2" s="313"/>
      <c r="I2" s="314"/>
    </row>
    <row r="3" spans="1:9" ht="16.5" thickBot="1" x14ac:dyDescent="0.3">
      <c r="A3" s="299" t="s">
        <v>40</v>
      </c>
      <c r="B3" s="300"/>
      <c r="C3" s="300"/>
      <c r="D3" s="300"/>
      <c r="E3" s="300"/>
      <c r="F3" s="300"/>
      <c r="G3" s="300"/>
      <c r="H3" s="300"/>
      <c r="I3" s="301"/>
    </row>
    <row r="4" spans="1:9" x14ac:dyDescent="0.25">
      <c r="A4" s="3" t="s">
        <v>2</v>
      </c>
      <c r="B4" s="337" t="s">
        <v>41</v>
      </c>
      <c r="C4" s="338"/>
      <c r="D4" s="338"/>
      <c r="E4" s="338"/>
      <c r="F4" s="338"/>
      <c r="G4" s="338"/>
      <c r="H4" s="339"/>
      <c r="I4" s="4"/>
    </row>
    <row r="5" spans="1:9" x14ac:dyDescent="0.25">
      <c r="A5" s="5" t="s">
        <v>3</v>
      </c>
      <c r="B5" s="302" t="s">
        <v>42</v>
      </c>
      <c r="C5" s="303"/>
      <c r="D5" s="303"/>
      <c r="E5" s="303"/>
      <c r="F5" s="303"/>
      <c r="G5" s="303"/>
      <c r="H5" s="304"/>
      <c r="I5" s="6" t="s">
        <v>155</v>
      </c>
    </row>
    <row r="6" spans="1:9" x14ac:dyDescent="0.25">
      <c r="A6" s="5" t="s">
        <v>5</v>
      </c>
      <c r="B6" s="324" t="s">
        <v>43</v>
      </c>
      <c r="C6" s="277"/>
      <c r="D6" s="277"/>
      <c r="E6" s="277"/>
      <c r="F6" s="277"/>
      <c r="G6" s="277"/>
      <c r="H6" s="278"/>
      <c r="I6" s="1" t="s">
        <v>344</v>
      </c>
    </row>
    <row r="7" spans="1:9" ht="16.5" thickBot="1" x14ac:dyDescent="0.3">
      <c r="A7" s="7" t="s">
        <v>6</v>
      </c>
      <c r="B7" s="334" t="s">
        <v>44</v>
      </c>
      <c r="C7" s="335"/>
      <c r="D7" s="335"/>
      <c r="E7" s="335"/>
      <c r="F7" s="335"/>
      <c r="G7" s="335"/>
      <c r="H7" s="336"/>
      <c r="I7" s="8">
        <v>12</v>
      </c>
    </row>
    <row r="8" spans="1:9" ht="7.5" customHeight="1" thickBot="1" x14ac:dyDescent="0.3">
      <c r="A8" s="312"/>
      <c r="B8" s="313"/>
      <c r="C8" s="313"/>
      <c r="D8" s="313"/>
      <c r="E8" s="313"/>
      <c r="F8" s="313"/>
      <c r="G8" s="313"/>
      <c r="H8" s="313"/>
      <c r="I8" s="314"/>
    </row>
    <row r="9" spans="1:9" ht="15.75" customHeight="1" thickBot="1" x14ac:dyDescent="0.3">
      <c r="A9" s="299" t="s">
        <v>45</v>
      </c>
      <c r="B9" s="300"/>
      <c r="C9" s="300"/>
      <c r="D9" s="300"/>
      <c r="E9" s="300"/>
      <c r="F9" s="300"/>
      <c r="G9" s="300"/>
      <c r="H9" s="300"/>
      <c r="I9" s="301"/>
    </row>
    <row r="10" spans="1:9" ht="30" customHeight="1" x14ac:dyDescent="0.25">
      <c r="A10" s="350" t="s">
        <v>32</v>
      </c>
      <c r="B10" s="351"/>
      <c r="C10" s="351"/>
      <c r="D10" s="351"/>
      <c r="E10" s="351"/>
      <c r="F10" s="347"/>
      <c r="G10" s="346" t="s">
        <v>33</v>
      </c>
      <c r="H10" s="347"/>
      <c r="I10" s="45" t="s">
        <v>46</v>
      </c>
    </row>
    <row r="11" spans="1:9" ht="48" customHeight="1" thickBot="1" x14ac:dyDescent="0.3">
      <c r="A11" s="352" t="s">
        <v>383</v>
      </c>
      <c r="B11" s="353"/>
      <c r="C11" s="353"/>
      <c r="D11" s="353"/>
      <c r="E11" s="353"/>
      <c r="F11" s="354"/>
      <c r="G11" s="348" t="s">
        <v>113</v>
      </c>
      <c r="H11" s="349"/>
      <c r="I11" s="44">
        <v>1</v>
      </c>
    </row>
    <row r="12" spans="1:9" ht="7.5" customHeight="1" thickBot="1" x14ac:dyDescent="0.3">
      <c r="A12" s="312"/>
      <c r="B12" s="313"/>
      <c r="C12" s="313"/>
      <c r="D12" s="313"/>
      <c r="E12" s="313"/>
      <c r="F12" s="313"/>
      <c r="G12" s="313"/>
      <c r="H12" s="313"/>
      <c r="I12" s="314"/>
    </row>
    <row r="13" spans="1:9" ht="15.75" customHeight="1" thickBot="1" x14ac:dyDescent="0.3">
      <c r="A13" s="299" t="s">
        <v>47</v>
      </c>
      <c r="B13" s="300"/>
      <c r="C13" s="300"/>
      <c r="D13" s="300"/>
      <c r="E13" s="300"/>
      <c r="F13" s="300"/>
      <c r="G13" s="300"/>
      <c r="H13" s="300"/>
      <c r="I13" s="301"/>
    </row>
    <row r="14" spans="1:9" ht="15.75" customHeight="1" thickBot="1" x14ac:dyDescent="0.3">
      <c r="A14" s="299" t="s">
        <v>34</v>
      </c>
      <c r="B14" s="300"/>
      <c r="C14" s="300"/>
      <c r="D14" s="300"/>
      <c r="E14" s="300"/>
      <c r="F14" s="300"/>
      <c r="G14" s="300"/>
      <c r="H14" s="300"/>
      <c r="I14" s="301"/>
    </row>
    <row r="15" spans="1:9" ht="16.5" thickBot="1" x14ac:dyDescent="0.3">
      <c r="A15" s="343" t="s">
        <v>35</v>
      </c>
      <c r="B15" s="344"/>
      <c r="C15" s="344"/>
      <c r="D15" s="344"/>
      <c r="E15" s="344"/>
      <c r="F15" s="344"/>
      <c r="G15" s="344"/>
      <c r="H15" s="344"/>
      <c r="I15" s="345"/>
    </row>
    <row r="16" spans="1:9" ht="16.5" thickBot="1" x14ac:dyDescent="0.3">
      <c r="A16" s="299" t="s">
        <v>48</v>
      </c>
      <c r="B16" s="300"/>
      <c r="C16" s="300"/>
      <c r="D16" s="300"/>
      <c r="E16" s="300"/>
      <c r="F16" s="300"/>
      <c r="G16" s="300"/>
      <c r="H16" s="300"/>
      <c r="I16" s="301"/>
    </row>
    <row r="17" spans="1:9" x14ac:dyDescent="0.25">
      <c r="A17" s="3">
        <v>1</v>
      </c>
      <c r="B17" s="337" t="s">
        <v>49</v>
      </c>
      <c r="C17" s="338"/>
      <c r="D17" s="338"/>
      <c r="E17" s="338"/>
      <c r="F17" s="338"/>
      <c r="G17" s="338"/>
      <c r="H17" s="339"/>
      <c r="I17" s="9" t="s">
        <v>381</v>
      </c>
    </row>
    <row r="18" spans="1:9" ht="15.75" customHeight="1" x14ac:dyDescent="0.25">
      <c r="A18" s="5">
        <v>2</v>
      </c>
      <c r="B18" s="324" t="s">
        <v>36</v>
      </c>
      <c r="C18" s="277"/>
      <c r="D18" s="277"/>
      <c r="E18" s="277"/>
      <c r="F18" s="277"/>
      <c r="G18" s="277"/>
      <c r="H18" s="278"/>
      <c r="I18" s="6" t="s">
        <v>379</v>
      </c>
    </row>
    <row r="19" spans="1:9" ht="15.75" customHeight="1" x14ac:dyDescent="0.25">
      <c r="A19" s="5">
        <v>3</v>
      </c>
      <c r="B19" s="324" t="s">
        <v>50</v>
      </c>
      <c r="C19" s="277"/>
      <c r="D19" s="277"/>
      <c r="E19" s="277"/>
      <c r="F19" s="277"/>
      <c r="G19" s="277"/>
      <c r="H19" s="278"/>
      <c r="I19" s="10">
        <v>1540.62</v>
      </c>
    </row>
    <row r="20" spans="1:9" ht="15.75" customHeight="1" x14ac:dyDescent="0.25">
      <c r="A20" s="5">
        <v>4</v>
      </c>
      <c r="B20" s="302" t="s">
        <v>51</v>
      </c>
      <c r="C20" s="303"/>
      <c r="D20" s="303"/>
      <c r="E20" s="303"/>
      <c r="F20" s="303"/>
      <c r="G20" s="303"/>
      <c r="H20" s="304"/>
      <c r="I20" s="1" t="s">
        <v>343</v>
      </c>
    </row>
    <row r="21" spans="1:9" ht="15.75" customHeight="1" thickBot="1" x14ac:dyDescent="0.3">
      <c r="A21" s="7">
        <v>5</v>
      </c>
      <c r="B21" s="334" t="s">
        <v>52</v>
      </c>
      <c r="C21" s="335"/>
      <c r="D21" s="335"/>
      <c r="E21" s="335"/>
      <c r="F21" s="335"/>
      <c r="G21" s="335"/>
      <c r="H21" s="336"/>
      <c r="I21" s="11">
        <v>45292</v>
      </c>
    </row>
    <row r="22" spans="1:9" ht="53.25" customHeight="1" thickBot="1" x14ac:dyDescent="0.3">
      <c r="A22" s="340" t="s">
        <v>137</v>
      </c>
      <c r="B22" s="341"/>
      <c r="C22" s="341"/>
      <c r="D22" s="341"/>
      <c r="E22" s="341"/>
      <c r="F22" s="341"/>
      <c r="G22" s="341"/>
      <c r="H22" s="341"/>
      <c r="I22" s="342"/>
    </row>
    <row r="23" spans="1:9" ht="16.5" thickBot="1" x14ac:dyDescent="0.3">
      <c r="A23" s="299" t="s">
        <v>53</v>
      </c>
      <c r="B23" s="300"/>
      <c r="C23" s="300"/>
      <c r="D23" s="300"/>
      <c r="E23" s="300"/>
      <c r="F23" s="300"/>
      <c r="G23" s="300"/>
      <c r="H23" s="300"/>
      <c r="I23" s="301"/>
    </row>
    <row r="24" spans="1:9" x14ac:dyDescent="0.25">
      <c r="A24" s="63">
        <v>1</v>
      </c>
      <c r="B24" s="290" t="s">
        <v>54</v>
      </c>
      <c r="C24" s="291"/>
      <c r="D24" s="291"/>
      <c r="E24" s="291"/>
      <c r="F24" s="291"/>
      <c r="G24" s="292"/>
      <c r="H24" s="62" t="s">
        <v>55</v>
      </c>
      <c r="I24" s="12" t="s">
        <v>56</v>
      </c>
    </row>
    <row r="25" spans="1:9" x14ac:dyDescent="0.25">
      <c r="A25" s="13" t="s">
        <v>2</v>
      </c>
      <c r="B25" s="324" t="s">
        <v>57</v>
      </c>
      <c r="C25" s="277"/>
      <c r="D25" s="277"/>
      <c r="E25" s="277"/>
      <c r="F25" s="277"/>
      <c r="G25" s="278"/>
      <c r="H25" s="210"/>
      <c r="I25" s="14">
        <f>I19</f>
        <v>1540.62</v>
      </c>
    </row>
    <row r="26" spans="1:9" x14ac:dyDescent="0.25">
      <c r="A26" s="13" t="s">
        <v>3</v>
      </c>
      <c r="B26" s="324" t="s">
        <v>58</v>
      </c>
      <c r="C26" s="277"/>
      <c r="D26" s="277"/>
      <c r="E26" s="277"/>
      <c r="F26" s="277"/>
      <c r="G26" s="278"/>
      <c r="H26" s="15"/>
      <c r="I26" s="14">
        <f>H26*G26</f>
        <v>0</v>
      </c>
    </row>
    <row r="27" spans="1:9" x14ac:dyDescent="0.25">
      <c r="A27" s="13" t="s">
        <v>5</v>
      </c>
      <c r="B27" s="324" t="s">
        <v>4</v>
      </c>
      <c r="C27" s="277"/>
      <c r="D27" s="277"/>
      <c r="E27" s="277"/>
      <c r="F27" s="277"/>
      <c r="G27" s="278"/>
      <c r="H27" s="15">
        <v>0.3</v>
      </c>
      <c r="I27" s="14">
        <f>H27*I25</f>
        <v>462.18599999999992</v>
      </c>
    </row>
    <row r="28" spans="1:9" x14ac:dyDescent="0.25">
      <c r="A28" s="13" t="s">
        <v>6</v>
      </c>
      <c r="B28" s="324" t="s">
        <v>59</v>
      </c>
      <c r="C28" s="277"/>
      <c r="D28" s="277"/>
      <c r="E28" s="277"/>
      <c r="F28" s="277"/>
      <c r="G28" s="278"/>
      <c r="H28" s="16"/>
      <c r="I28" s="14">
        <f t="shared" ref="I28:I29" si="0">H28*I26</f>
        <v>0</v>
      </c>
    </row>
    <row r="29" spans="1:9" x14ac:dyDescent="0.25">
      <c r="A29" s="13" t="s">
        <v>7</v>
      </c>
      <c r="B29" s="324" t="s">
        <v>60</v>
      </c>
      <c r="C29" s="277"/>
      <c r="D29" s="277"/>
      <c r="E29" s="277"/>
      <c r="F29" s="277"/>
      <c r="G29" s="278"/>
      <c r="H29" s="61"/>
      <c r="I29" s="14">
        <f t="shared" si="0"/>
        <v>0</v>
      </c>
    </row>
    <row r="30" spans="1:9" x14ac:dyDescent="0.25">
      <c r="A30" s="13" t="s">
        <v>8</v>
      </c>
      <c r="B30" s="324" t="s">
        <v>342</v>
      </c>
      <c r="C30" s="277"/>
      <c r="D30" s="277"/>
      <c r="E30" s="277"/>
      <c r="F30" s="277"/>
      <c r="G30" s="278"/>
      <c r="H30" s="15"/>
      <c r="I30" s="14">
        <f>H30*I25</f>
        <v>0</v>
      </c>
    </row>
    <row r="31" spans="1:9" ht="16.5" thickBot="1" x14ac:dyDescent="0.3">
      <c r="A31" s="287" t="s">
        <v>61</v>
      </c>
      <c r="B31" s="288"/>
      <c r="C31" s="288"/>
      <c r="D31" s="288"/>
      <c r="E31" s="288"/>
      <c r="F31" s="288"/>
      <c r="G31" s="288"/>
      <c r="H31" s="289"/>
      <c r="I31" s="17">
        <f>ROUND(SUM(I25:I30),2)</f>
        <v>2002.81</v>
      </c>
    </row>
    <row r="32" spans="1:9" ht="7.5" customHeight="1" thickBot="1" x14ac:dyDescent="0.3">
      <c r="A32" s="296"/>
      <c r="B32" s="297"/>
      <c r="C32" s="297"/>
      <c r="D32" s="297"/>
      <c r="E32" s="297"/>
      <c r="F32" s="297"/>
      <c r="G32" s="297"/>
      <c r="H32" s="297"/>
      <c r="I32" s="298"/>
    </row>
    <row r="33" spans="1:12" ht="16.5" thickBot="1" x14ac:dyDescent="0.3">
      <c r="A33" s="299" t="s">
        <v>62</v>
      </c>
      <c r="B33" s="300"/>
      <c r="C33" s="300"/>
      <c r="D33" s="300"/>
      <c r="E33" s="300"/>
      <c r="F33" s="300"/>
      <c r="G33" s="300"/>
      <c r="H33" s="300"/>
      <c r="I33" s="301"/>
    </row>
    <row r="34" spans="1:12" x14ac:dyDescent="0.25">
      <c r="A34" s="311" t="s">
        <v>63</v>
      </c>
      <c r="B34" s="291"/>
      <c r="C34" s="291"/>
      <c r="D34" s="291"/>
      <c r="E34" s="291"/>
      <c r="F34" s="291"/>
      <c r="G34" s="292"/>
      <c r="H34" s="62" t="s">
        <v>55</v>
      </c>
      <c r="I34" s="12" t="s">
        <v>56</v>
      </c>
    </row>
    <row r="35" spans="1:12" ht="35.25" customHeight="1" x14ac:dyDescent="0.25">
      <c r="A35" s="13" t="s">
        <v>2</v>
      </c>
      <c r="B35" s="357" t="s">
        <v>138</v>
      </c>
      <c r="C35" s="358"/>
      <c r="D35" s="358"/>
      <c r="E35" s="358"/>
      <c r="F35" s="358"/>
      <c r="G35" s="359"/>
      <c r="H35" s="18">
        <f>((1/12)*100%)</f>
        <v>8.3333333333333329E-2</v>
      </c>
      <c r="I35" s="14">
        <f>ROUND(($I$31*H35),2)</f>
        <v>166.9</v>
      </c>
    </row>
    <row r="36" spans="1:12" ht="78" customHeight="1" x14ac:dyDescent="0.25">
      <c r="A36" s="13" t="s">
        <v>3</v>
      </c>
      <c r="B36" s="357" t="s">
        <v>157</v>
      </c>
      <c r="C36" s="358"/>
      <c r="D36" s="358"/>
      <c r="E36" s="358"/>
      <c r="F36" s="358"/>
      <c r="G36" s="359"/>
      <c r="H36" s="18">
        <v>0.121</v>
      </c>
      <c r="I36" s="14">
        <f>ROUND(($I$31*H36),2)</f>
        <v>242.34</v>
      </c>
      <c r="J36" s="19"/>
      <c r="K36" s="20"/>
    </row>
    <row r="37" spans="1:12" ht="16.5" thickBot="1" x14ac:dyDescent="0.3">
      <c r="A37" s="287" t="s">
        <v>64</v>
      </c>
      <c r="B37" s="288"/>
      <c r="C37" s="288"/>
      <c r="D37" s="288"/>
      <c r="E37" s="288"/>
      <c r="F37" s="288"/>
      <c r="G37" s="289"/>
      <c r="H37" s="21">
        <f>SUM(H35:H36)</f>
        <v>0.20433333333333331</v>
      </c>
      <c r="I37" s="17">
        <f>SUM(I35:I36)</f>
        <v>409.24</v>
      </c>
      <c r="K37" s="23"/>
      <c r="L37" s="23"/>
    </row>
    <row r="38" spans="1:12" ht="84" customHeight="1" thickBot="1" x14ac:dyDescent="0.3">
      <c r="A38" s="308" t="s">
        <v>139</v>
      </c>
      <c r="B38" s="355"/>
      <c r="C38" s="355"/>
      <c r="D38" s="355"/>
      <c r="E38" s="355"/>
      <c r="F38" s="355"/>
      <c r="G38" s="355"/>
      <c r="H38" s="355"/>
      <c r="I38" s="356"/>
    </row>
    <row r="39" spans="1:12" ht="15.75" customHeight="1" x14ac:dyDescent="0.25">
      <c r="A39" s="311" t="s">
        <v>65</v>
      </c>
      <c r="B39" s="291"/>
      <c r="C39" s="291"/>
      <c r="D39" s="291"/>
      <c r="E39" s="291"/>
      <c r="F39" s="291"/>
      <c r="G39" s="292"/>
      <c r="H39" s="64" t="s">
        <v>55</v>
      </c>
      <c r="I39" s="22" t="s">
        <v>56</v>
      </c>
    </row>
    <row r="40" spans="1:12" x14ac:dyDescent="0.25">
      <c r="A40" s="13" t="s">
        <v>2</v>
      </c>
      <c r="B40" s="324" t="s">
        <v>66</v>
      </c>
      <c r="C40" s="277"/>
      <c r="D40" s="277"/>
      <c r="E40" s="277"/>
      <c r="F40" s="277"/>
      <c r="G40" s="278"/>
      <c r="H40" s="18">
        <v>0.2</v>
      </c>
      <c r="I40" s="14">
        <f>ROUND((($I$31+$I$37)*H40),2)</f>
        <v>482.41</v>
      </c>
    </row>
    <row r="41" spans="1:12" ht="15.75" customHeight="1" x14ac:dyDescent="0.25">
      <c r="A41" s="13" t="s">
        <v>3</v>
      </c>
      <c r="B41" s="324" t="s">
        <v>67</v>
      </c>
      <c r="C41" s="277"/>
      <c r="D41" s="277"/>
      <c r="E41" s="277"/>
      <c r="F41" s="277"/>
      <c r="G41" s="278"/>
      <c r="H41" s="18">
        <v>2.5000000000000001E-2</v>
      </c>
      <c r="I41" s="14">
        <f t="shared" ref="I41:I47" si="1">ROUND((($I$31+$I$37)*H41),2)</f>
        <v>60.3</v>
      </c>
    </row>
    <row r="42" spans="1:12" ht="33" customHeight="1" x14ac:dyDescent="0.25">
      <c r="A42" s="13" t="s">
        <v>5</v>
      </c>
      <c r="B42" s="357" t="s">
        <v>140</v>
      </c>
      <c r="C42" s="358"/>
      <c r="D42" s="358"/>
      <c r="E42" s="358"/>
      <c r="F42" s="358"/>
      <c r="G42" s="359"/>
      <c r="H42" s="18">
        <v>0.03</v>
      </c>
      <c r="I42" s="14">
        <f t="shared" si="1"/>
        <v>72.36</v>
      </c>
    </row>
    <row r="43" spans="1:12" x14ac:dyDescent="0.25">
      <c r="A43" s="13" t="s">
        <v>6</v>
      </c>
      <c r="B43" s="324" t="s">
        <v>12</v>
      </c>
      <c r="C43" s="277"/>
      <c r="D43" s="277"/>
      <c r="E43" s="277"/>
      <c r="F43" s="277"/>
      <c r="G43" s="278"/>
      <c r="H43" s="18">
        <v>1.4999999999999999E-2</v>
      </c>
      <c r="I43" s="14">
        <f t="shared" si="1"/>
        <v>36.18</v>
      </c>
    </row>
    <row r="44" spans="1:12" x14ac:dyDescent="0.25">
      <c r="A44" s="13" t="s">
        <v>7</v>
      </c>
      <c r="B44" s="324" t="s">
        <v>68</v>
      </c>
      <c r="C44" s="277"/>
      <c r="D44" s="277"/>
      <c r="E44" s="277"/>
      <c r="F44" s="277"/>
      <c r="G44" s="278"/>
      <c r="H44" s="18">
        <v>0.01</v>
      </c>
      <c r="I44" s="14">
        <f t="shared" si="1"/>
        <v>24.12</v>
      </c>
    </row>
    <row r="45" spans="1:12" x14ac:dyDescent="0.25">
      <c r="A45" s="13" t="s">
        <v>8</v>
      </c>
      <c r="B45" s="324" t="s">
        <v>69</v>
      </c>
      <c r="C45" s="277"/>
      <c r="D45" s="277"/>
      <c r="E45" s="277"/>
      <c r="F45" s="277"/>
      <c r="G45" s="278"/>
      <c r="H45" s="18">
        <v>6.0000000000000001E-3</v>
      </c>
      <c r="I45" s="14">
        <f t="shared" si="1"/>
        <v>14.47</v>
      </c>
    </row>
    <row r="46" spans="1:12" x14ac:dyDescent="0.25">
      <c r="A46" s="13" t="s">
        <v>9</v>
      </c>
      <c r="B46" s="324" t="s">
        <v>70</v>
      </c>
      <c r="C46" s="277"/>
      <c r="D46" s="277"/>
      <c r="E46" s="277"/>
      <c r="F46" s="277"/>
      <c r="G46" s="278"/>
      <c r="H46" s="18">
        <v>2E-3</v>
      </c>
      <c r="I46" s="14">
        <f t="shared" si="1"/>
        <v>4.82</v>
      </c>
    </row>
    <row r="47" spans="1:12" ht="15.75" customHeight="1" x14ac:dyDescent="0.25">
      <c r="A47" s="13" t="s">
        <v>13</v>
      </c>
      <c r="B47" s="324" t="s">
        <v>71</v>
      </c>
      <c r="C47" s="277"/>
      <c r="D47" s="277"/>
      <c r="E47" s="277"/>
      <c r="F47" s="277"/>
      <c r="G47" s="278"/>
      <c r="H47" s="18">
        <v>0.08</v>
      </c>
      <c r="I47" s="14">
        <f t="shared" si="1"/>
        <v>192.96</v>
      </c>
    </row>
    <row r="48" spans="1:12" ht="16.5" thickBot="1" x14ac:dyDescent="0.3">
      <c r="A48" s="287" t="s">
        <v>72</v>
      </c>
      <c r="B48" s="288"/>
      <c r="C48" s="288"/>
      <c r="D48" s="288"/>
      <c r="E48" s="288"/>
      <c r="F48" s="288"/>
      <c r="G48" s="289"/>
      <c r="H48" s="21">
        <f>SUM(H40:H47)</f>
        <v>0.36800000000000005</v>
      </c>
      <c r="I48" s="17">
        <f>SUM(I40:I47)</f>
        <v>887.62000000000012</v>
      </c>
      <c r="J48" s="23"/>
    </row>
    <row r="49" spans="1:11" ht="46.5" customHeight="1" thickBot="1" x14ac:dyDescent="0.3">
      <c r="A49" s="308" t="s">
        <v>141</v>
      </c>
      <c r="B49" s="332"/>
      <c r="C49" s="332"/>
      <c r="D49" s="332"/>
      <c r="E49" s="332"/>
      <c r="F49" s="332"/>
      <c r="G49" s="332"/>
      <c r="H49" s="332"/>
      <c r="I49" s="333"/>
    </row>
    <row r="50" spans="1:11" x14ac:dyDescent="0.25">
      <c r="A50" s="311" t="s">
        <v>73</v>
      </c>
      <c r="B50" s="291"/>
      <c r="C50" s="291"/>
      <c r="D50" s="291"/>
      <c r="E50" s="291"/>
      <c r="F50" s="291"/>
      <c r="G50" s="292"/>
      <c r="H50" s="24"/>
      <c r="I50" s="22" t="s">
        <v>56</v>
      </c>
    </row>
    <row r="51" spans="1:11" x14ac:dyDescent="0.25">
      <c r="A51" s="13" t="s">
        <v>2</v>
      </c>
      <c r="B51" s="321" t="s">
        <v>307</v>
      </c>
      <c r="C51" s="322"/>
      <c r="D51" s="322"/>
      <c r="E51" s="322"/>
      <c r="F51" s="322"/>
      <c r="G51" s="323"/>
      <c r="H51" s="16" t="s">
        <v>74</v>
      </c>
      <c r="I51" s="14">
        <f>'Transporte (THE)'!D17</f>
        <v>260.92</v>
      </c>
    </row>
    <row r="52" spans="1:11" x14ac:dyDescent="0.25">
      <c r="A52" s="13" t="s">
        <v>3</v>
      </c>
      <c r="B52" s="321" t="s">
        <v>308</v>
      </c>
      <c r="C52" s="322"/>
      <c r="D52" s="322"/>
      <c r="E52" s="322"/>
      <c r="F52" s="322"/>
      <c r="G52" s="323"/>
      <c r="H52" s="25">
        <v>21.53</v>
      </c>
      <c r="I52" s="14">
        <v>473.82</v>
      </c>
    </row>
    <row r="53" spans="1:11" x14ac:dyDescent="0.25">
      <c r="A53" s="13" t="s">
        <v>5</v>
      </c>
      <c r="B53" s="324" t="s">
        <v>310</v>
      </c>
      <c r="C53" s="277"/>
      <c r="D53" s="277"/>
      <c r="E53" s="277"/>
      <c r="F53" s="277"/>
      <c r="G53" s="278"/>
      <c r="H53" s="25"/>
      <c r="I53" s="149">
        <v>104.89</v>
      </c>
    </row>
    <row r="54" spans="1:11" x14ac:dyDescent="0.25">
      <c r="A54" s="13" t="s">
        <v>6</v>
      </c>
      <c r="B54" s="321" t="s">
        <v>309</v>
      </c>
      <c r="C54" s="322"/>
      <c r="D54" s="322"/>
      <c r="E54" s="322"/>
      <c r="F54" s="322"/>
      <c r="G54" s="323"/>
      <c r="H54" s="16" t="s">
        <v>74</v>
      </c>
      <c r="I54" s="149">
        <v>4.4400000000000004</v>
      </c>
      <c r="K54" s="23"/>
    </row>
    <row r="55" spans="1:11" ht="16.5" thickBot="1" x14ac:dyDescent="0.3">
      <c r="A55" s="287" t="s">
        <v>75</v>
      </c>
      <c r="B55" s="288"/>
      <c r="C55" s="288"/>
      <c r="D55" s="288"/>
      <c r="E55" s="288"/>
      <c r="F55" s="288"/>
      <c r="G55" s="288"/>
      <c r="H55" s="289"/>
      <c r="I55" s="17">
        <f>SUM(I51:I54)</f>
        <v>844.07</v>
      </c>
    </row>
    <row r="56" spans="1:11" ht="84" customHeight="1" thickBot="1" x14ac:dyDescent="0.3">
      <c r="A56" s="308" t="s">
        <v>176</v>
      </c>
      <c r="B56" s="330"/>
      <c r="C56" s="330"/>
      <c r="D56" s="330"/>
      <c r="E56" s="330"/>
      <c r="F56" s="330"/>
      <c r="G56" s="330"/>
      <c r="H56" s="330"/>
      <c r="I56" s="331"/>
    </row>
    <row r="57" spans="1:11" ht="16.5" thickBot="1" x14ac:dyDescent="0.3">
      <c r="A57" s="299" t="s">
        <v>76</v>
      </c>
      <c r="B57" s="300"/>
      <c r="C57" s="300"/>
      <c r="D57" s="300"/>
      <c r="E57" s="300"/>
      <c r="F57" s="300"/>
      <c r="G57" s="300"/>
      <c r="H57" s="300"/>
      <c r="I57" s="301"/>
    </row>
    <row r="58" spans="1:11" x14ac:dyDescent="0.25">
      <c r="A58" s="311" t="s">
        <v>77</v>
      </c>
      <c r="B58" s="291"/>
      <c r="C58" s="291"/>
      <c r="D58" s="291"/>
      <c r="E58" s="291"/>
      <c r="F58" s="291"/>
      <c r="G58" s="291"/>
      <c r="H58" s="292"/>
      <c r="I58" s="12" t="s">
        <v>56</v>
      </c>
    </row>
    <row r="59" spans="1:11" x14ac:dyDescent="0.25">
      <c r="A59" s="13" t="s">
        <v>10</v>
      </c>
      <c r="B59" s="324" t="s">
        <v>78</v>
      </c>
      <c r="C59" s="277"/>
      <c r="D59" s="277"/>
      <c r="E59" s="277"/>
      <c r="F59" s="277"/>
      <c r="G59" s="277"/>
      <c r="H59" s="278"/>
      <c r="I59" s="14">
        <f>I37</f>
        <v>409.24</v>
      </c>
    </row>
    <row r="60" spans="1:11" x14ac:dyDescent="0.25">
      <c r="A60" s="13" t="s">
        <v>11</v>
      </c>
      <c r="B60" s="324" t="s">
        <v>79</v>
      </c>
      <c r="C60" s="277"/>
      <c r="D60" s="277"/>
      <c r="E60" s="277"/>
      <c r="F60" s="277"/>
      <c r="G60" s="277"/>
      <c r="H60" s="278"/>
      <c r="I60" s="14">
        <f>I48</f>
        <v>887.62000000000012</v>
      </c>
    </row>
    <row r="61" spans="1:11" x14ac:dyDescent="0.25">
      <c r="A61" s="13" t="s">
        <v>14</v>
      </c>
      <c r="B61" s="324" t="s">
        <v>15</v>
      </c>
      <c r="C61" s="277"/>
      <c r="D61" s="277"/>
      <c r="E61" s="277"/>
      <c r="F61" s="277"/>
      <c r="G61" s="277"/>
      <c r="H61" s="278"/>
      <c r="I61" s="14">
        <f>I55</f>
        <v>844.07</v>
      </c>
    </row>
    <row r="62" spans="1:11" ht="16.5" thickBot="1" x14ac:dyDescent="0.3">
      <c r="A62" s="287" t="s">
        <v>80</v>
      </c>
      <c r="B62" s="288"/>
      <c r="C62" s="288"/>
      <c r="D62" s="288"/>
      <c r="E62" s="288"/>
      <c r="F62" s="288"/>
      <c r="G62" s="288"/>
      <c r="H62" s="289"/>
      <c r="I62" s="17">
        <f>TRUNC(SUM(I59:I61),2)</f>
        <v>2140.9299999999998</v>
      </c>
    </row>
    <row r="63" spans="1:11" ht="15" customHeight="1" thickBot="1" x14ac:dyDescent="0.3">
      <c r="A63" s="296"/>
      <c r="B63" s="297"/>
      <c r="C63" s="297"/>
      <c r="D63" s="297"/>
      <c r="E63" s="297"/>
      <c r="F63" s="297"/>
      <c r="G63" s="297"/>
      <c r="H63" s="297"/>
      <c r="I63" s="298"/>
    </row>
    <row r="64" spans="1:11" ht="16.5" thickBot="1" x14ac:dyDescent="0.3">
      <c r="A64" s="299" t="s">
        <v>81</v>
      </c>
      <c r="B64" s="300"/>
      <c r="C64" s="300"/>
      <c r="D64" s="300"/>
      <c r="E64" s="300"/>
      <c r="F64" s="300"/>
      <c r="G64" s="300"/>
      <c r="H64" s="300"/>
      <c r="I64" s="301"/>
    </row>
    <row r="65" spans="1:10" x14ac:dyDescent="0.25">
      <c r="A65" s="63">
        <v>3</v>
      </c>
      <c r="B65" s="290" t="s">
        <v>82</v>
      </c>
      <c r="C65" s="291"/>
      <c r="D65" s="291"/>
      <c r="E65" s="291"/>
      <c r="F65" s="291"/>
      <c r="G65" s="292"/>
      <c r="H65" s="62" t="s">
        <v>55</v>
      </c>
      <c r="I65" s="12" t="s">
        <v>56</v>
      </c>
    </row>
    <row r="66" spans="1:10" ht="70.5" customHeight="1" x14ac:dyDescent="0.25">
      <c r="A66" s="13" t="s">
        <v>2</v>
      </c>
      <c r="B66" s="282" t="s">
        <v>142</v>
      </c>
      <c r="C66" s="283"/>
      <c r="D66" s="283"/>
      <c r="E66" s="283"/>
      <c r="F66" s="283"/>
      <c r="G66" s="284"/>
      <c r="H66" s="18">
        <f>(((1/12)*0.05)*100%)</f>
        <v>4.1666666666666666E-3</v>
      </c>
      <c r="I66" s="14">
        <f>ROUND((I$31*$H$66),2)</f>
        <v>8.35</v>
      </c>
      <c r="J66" s="26"/>
    </row>
    <row r="67" spans="1:10" x14ac:dyDescent="0.25">
      <c r="A67" s="13" t="s">
        <v>3</v>
      </c>
      <c r="B67" s="324" t="s">
        <v>16</v>
      </c>
      <c r="C67" s="277"/>
      <c r="D67" s="277"/>
      <c r="E67" s="277"/>
      <c r="F67" s="277"/>
      <c r="G67" s="278"/>
      <c r="H67" s="18">
        <f>H47*H66</f>
        <v>3.3333333333333332E-4</v>
      </c>
      <c r="I67" s="14">
        <f>ROUND((I$31*$H$67),2)</f>
        <v>0.67</v>
      </c>
    </row>
    <row r="68" spans="1:10" ht="72.75" customHeight="1" x14ac:dyDescent="0.25">
      <c r="A68" s="13" t="s">
        <v>5</v>
      </c>
      <c r="B68" s="282" t="s">
        <v>143</v>
      </c>
      <c r="C68" s="283"/>
      <c r="D68" s="283"/>
      <c r="E68" s="283"/>
      <c r="F68" s="283"/>
      <c r="G68" s="284"/>
      <c r="H68" s="18">
        <f>(((100%/30)*7)/12)</f>
        <v>1.9444444444444445E-2</v>
      </c>
      <c r="I68" s="14">
        <f>ROUND((I$31*$H$68),2)</f>
        <v>38.94</v>
      </c>
      <c r="J68" s="19"/>
    </row>
    <row r="69" spans="1:10" x14ac:dyDescent="0.25">
      <c r="A69" s="13" t="s">
        <v>6</v>
      </c>
      <c r="B69" s="324" t="s">
        <v>83</v>
      </c>
      <c r="C69" s="277"/>
      <c r="D69" s="277"/>
      <c r="E69" s="277"/>
      <c r="F69" s="277"/>
      <c r="G69" s="278"/>
      <c r="H69" s="18">
        <f>H68*H48</f>
        <v>7.1555555555555565E-3</v>
      </c>
      <c r="I69" s="14">
        <f>ROUND((I$31*$H$69),2)</f>
        <v>14.33</v>
      </c>
    </row>
    <row r="70" spans="1:10" ht="54" customHeight="1" x14ac:dyDescent="0.25">
      <c r="A70" s="13" t="s">
        <v>7</v>
      </c>
      <c r="B70" s="282" t="s">
        <v>144</v>
      </c>
      <c r="C70" s="283"/>
      <c r="D70" s="283"/>
      <c r="E70" s="283"/>
      <c r="F70" s="283"/>
      <c r="G70" s="284"/>
      <c r="H70" s="18">
        <v>0.04</v>
      </c>
      <c r="I70" s="14">
        <f>ROUND((I$31*$H$70),2)</f>
        <v>80.11</v>
      </c>
    </row>
    <row r="71" spans="1:10" ht="16.5" thickBot="1" x14ac:dyDescent="0.3">
      <c r="A71" s="287" t="s">
        <v>84</v>
      </c>
      <c r="B71" s="288"/>
      <c r="C71" s="288"/>
      <c r="D71" s="288"/>
      <c r="E71" s="288"/>
      <c r="F71" s="288"/>
      <c r="G71" s="289"/>
      <c r="H71" s="21">
        <f>TRUNC(SUM(H66:H70),4)</f>
        <v>7.1099999999999997E-2</v>
      </c>
      <c r="I71" s="17">
        <f>SUM(I66:I70)</f>
        <v>142.39999999999998</v>
      </c>
    </row>
    <row r="72" spans="1:10" ht="17.25" customHeight="1" thickBot="1" x14ac:dyDescent="0.3">
      <c r="A72" s="296"/>
      <c r="B72" s="297"/>
      <c r="C72" s="297"/>
      <c r="D72" s="297"/>
      <c r="E72" s="297"/>
      <c r="F72" s="297"/>
      <c r="G72" s="297"/>
      <c r="H72" s="297"/>
      <c r="I72" s="298"/>
    </row>
    <row r="73" spans="1:10" ht="16.5" thickBot="1" x14ac:dyDescent="0.3">
      <c r="A73" s="299" t="s">
        <v>85</v>
      </c>
      <c r="B73" s="300"/>
      <c r="C73" s="300"/>
      <c r="D73" s="300"/>
      <c r="E73" s="300"/>
      <c r="F73" s="300"/>
      <c r="G73" s="300"/>
      <c r="H73" s="300"/>
      <c r="I73" s="301"/>
    </row>
    <row r="74" spans="1:10" ht="36" customHeight="1" thickBot="1" x14ac:dyDescent="0.3">
      <c r="A74" s="308" t="s">
        <v>131</v>
      </c>
      <c r="B74" s="363"/>
      <c r="C74" s="363"/>
      <c r="D74" s="363"/>
      <c r="E74" s="363"/>
      <c r="F74" s="363"/>
      <c r="G74" s="363"/>
      <c r="H74" s="363"/>
      <c r="I74" s="364"/>
    </row>
    <row r="75" spans="1:10" ht="36" customHeight="1" thickBot="1" x14ac:dyDescent="0.3">
      <c r="A75" s="365" t="s">
        <v>145</v>
      </c>
      <c r="B75" s="366"/>
      <c r="C75" s="366"/>
      <c r="D75" s="366"/>
      <c r="E75" s="366"/>
      <c r="F75" s="366"/>
      <c r="G75" s="366"/>
      <c r="H75" s="366"/>
      <c r="I75" s="367"/>
    </row>
    <row r="76" spans="1:10" ht="45.75" customHeight="1" thickBot="1" x14ac:dyDescent="0.3">
      <c r="A76" s="67" t="s">
        <v>132</v>
      </c>
      <c r="B76" s="69">
        <f>I31</f>
        <v>2002.81</v>
      </c>
      <c r="C76" s="68" t="s">
        <v>146</v>
      </c>
      <c r="D76" s="69">
        <f>I62-(I51+I52)</f>
        <v>1406.1899999999998</v>
      </c>
      <c r="E76" s="67" t="s">
        <v>147</v>
      </c>
      <c r="F76" s="70">
        <f>I71</f>
        <v>142.39999999999998</v>
      </c>
      <c r="G76" s="368" t="s">
        <v>148</v>
      </c>
      <c r="H76" s="369"/>
      <c r="I76" s="71">
        <f>B76+D76+F76</f>
        <v>3551.4</v>
      </c>
    </row>
    <row r="77" spans="1:10" x14ac:dyDescent="0.25">
      <c r="A77" s="325" t="s">
        <v>18</v>
      </c>
      <c r="B77" s="326"/>
      <c r="C77" s="326"/>
      <c r="D77" s="326"/>
      <c r="E77" s="326"/>
      <c r="F77" s="326"/>
      <c r="G77" s="327"/>
      <c r="H77" s="62" t="s">
        <v>55</v>
      </c>
      <c r="I77" s="12" t="s">
        <v>56</v>
      </c>
    </row>
    <row r="78" spans="1:10" ht="91.5" customHeight="1" x14ac:dyDescent="0.25">
      <c r="A78" s="13" t="s">
        <v>2</v>
      </c>
      <c r="B78" s="282" t="s">
        <v>154</v>
      </c>
      <c r="C78" s="328"/>
      <c r="D78" s="328"/>
      <c r="E78" s="328"/>
      <c r="F78" s="328"/>
      <c r="G78" s="329"/>
      <c r="H78" s="72">
        <v>9.0749999999999997E-2</v>
      </c>
      <c r="I78" s="14">
        <f>ROUND((I76*H78),2)</f>
        <v>322.29000000000002</v>
      </c>
    </row>
    <row r="79" spans="1:10" x14ac:dyDescent="0.25">
      <c r="A79" s="13" t="s">
        <v>3</v>
      </c>
      <c r="B79" s="324" t="s">
        <v>149</v>
      </c>
      <c r="C79" s="277"/>
      <c r="D79" s="277"/>
      <c r="E79" s="277"/>
      <c r="F79" s="277"/>
      <c r="G79" s="278"/>
      <c r="H79" s="27">
        <v>2.8E-3</v>
      </c>
      <c r="I79" s="14">
        <f>ROUND((I76*H79),2)</f>
        <v>9.94</v>
      </c>
    </row>
    <row r="80" spans="1:10" ht="35.25" customHeight="1" x14ac:dyDescent="0.25">
      <c r="A80" s="13" t="s">
        <v>5</v>
      </c>
      <c r="B80" s="282" t="s">
        <v>150</v>
      </c>
      <c r="C80" s="283"/>
      <c r="D80" s="283"/>
      <c r="E80" s="283"/>
      <c r="F80" s="283"/>
      <c r="G80" s="284"/>
      <c r="H80" s="27">
        <v>2.0799999999999999E-4</v>
      </c>
      <c r="I80" s="14">
        <f>ROUND((I76*H80),2)</f>
        <v>0.74</v>
      </c>
    </row>
    <row r="81" spans="1:9" ht="36" customHeight="1" x14ac:dyDescent="0.25">
      <c r="A81" s="13" t="s">
        <v>6</v>
      </c>
      <c r="B81" s="282" t="s">
        <v>151</v>
      </c>
      <c r="C81" s="283"/>
      <c r="D81" s="283"/>
      <c r="E81" s="283"/>
      <c r="F81" s="283"/>
      <c r="G81" s="284"/>
      <c r="H81" s="27">
        <v>2.7000000000000001E-3</v>
      </c>
      <c r="I81" s="14">
        <f>ROUND((I76*H81),2)</f>
        <v>9.59</v>
      </c>
    </row>
    <row r="82" spans="1:9" ht="137.25" customHeight="1" x14ac:dyDescent="0.25">
      <c r="A82" s="13" t="s">
        <v>7</v>
      </c>
      <c r="B82" s="282" t="s">
        <v>152</v>
      </c>
      <c r="C82" s="283"/>
      <c r="D82" s="283"/>
      <c r="E82" s="283"/>
      <c r="F82" s="283"/>
      <c r="G82" s="284"/>
      <c r="H82" s="27">
        <v>1.2999999999999999E-3</v>
      </c>
      <c r="I82" s="14">
        <f>ROUND((I76*H82),2)</f>
        <v>4.62</v>
      </c>
    </row>
    <row r="83" spans="1:9" ht="35.25" customHeight="1" x14ac:dyDescent="0.25">
      <c r="A83" s="13" t="s">
        <v>8</v>
      </c>
      <c r="B83" s="282" t="s">
        <v>153</v>
      </c>
      <c r="C83" s="283"/>
      <c r="D83" s="283"/>
      <c r="E83" s="283"/>
      <c r="F83" s="283"/>
      <c r="G83" s="284"/>
      <c r="H83" s="27">
        <v>8.3333000000000001E-3</v>
      </c>
      <c r="I83" s="14">
        <f>ROUND((I76*H83),2)</f>
        <v>29.59</v>
      </c>
    </row>
    <row r="84" spans="1:9" ht="15.75" customHeight="1" thickBot="1" x14ac:dyDescent="0.3">
      <c r="A84" s="287" t="s">
        <v>86</v>
      </c>
      <c r="B84" s="288"/>
      <c r="C84" s="288"/>
      <c r="D84" s="288"/>
      <c r="E84" s="288"/>
      <c r="F84" s="288"/>
      <c r="G84" s="289"/>
      <c r="H84" s="21">
        <f>TRUNC(SUM(H78:H83),4)</f>
        <v>0.106</v>
      </c>
      <c r="I84" s="17">
        <f>SUM(I78:I83)</f>
        <v>376.77</v>
      </c>
    </row>
    <row r="85" spans="1:9" ht="7.5" customHeight="1" thickBot="1" x14ac:dyDescent="0.3">
      <c r="A85" s="296"/>
      <c r="B85" s="297"/>
      <c r="C85" s="297"/>
      <c r="D85" s="297"/>
      <c r="E85" s="297"/>
      <c r="F85" s="297"/>
      <c r="G85" s="297"/>
      <c r="H85" s="297"/>
      <c r="I85" s="298"/>
    </row>
    <row r="86" spans="1:9" ht="15.75" customHeight="1" x14ac:dyDescent="0.25">
      <c r="A86" s="311" t="s">
        <v>21</v>
      </c>
      <c r="B86" s="291"/>
      <c r="C86" s="291"/>
      <c r="D86" s="291"/>
      <c r="E86" s="291"/>
      <c r="F86" s="291"/>
      <c r="G86" s="292"/>
      <c r="H86" s="64" t="s">
        <v>55</v>
      </c>
      <c r="I86" s="22" t="s">
        <v>56</v>
      </c>
    </row>
    <row r="87" spans="1:9" ht="15.75" customHeight="1" x14ac:dyDescent="0.25">
      <c r="A87" s="13" t="s">
        <v>2</v>
      </c>
      <c r="B87" s="324" t="s">
        <v>87</v>
      </c>
      <c r="C87" s="277"/>
      <c r="D87" s="277"/>
      <c r="E87" s="277"/>
      <c r="F87" s="277"/>
      <c r="G87" s="278"/>
      <c r="H87" s="27">
        <v>0</v>
      </c>
      <c r="I87" s="14">
        <v>0</v>
      </c>
    </row>
    <row r="88" spans="1:9" ht="16.5" thickBot="1" x14ac:dyDescent="0.3">
      <c r="A88" s="287" t="s">
        <v>88</v>
      </c>
      <c r="B88" s="288"/>
      <c r="C88" s="288"/>
      <c r="D88" s="288"/>
      <c r="E88" s="288"/>
      <c r="F88" s="288"/>
      <c r="G88" s="289"/>
      <c r="H88" s="21">
        <f>TRUNC(SUM(H87),4)</f>
        <v>0</v>
      </c>
      <c r="I88" s="17">
        <f>TRUNC(SUM(I87),2)</f>
        <v>0</v>
      </c>
    </row>
    <row r="89" spans="1:9" ht="7.5" customHeight="1" thickBot="1" x14ac:dyDescent="0.3">
      <c r="A89" s="296"/>
      <c r="B89" s="297"/>
      <c r="C89" s="297"/>
      <c r="D89" s="297"/>
      <c r="E89" s="297"/>
      <c r="F89" s="297"/>
      <c r="G89" s="297"/>
      <c r="H89" s="297"/>
      <c r="I89" s="298"/>
    </row>
    <row r="90" spans="1:9" ht="16.5" thickBot="1" x14ac:dyDescent="0.3">
      <c r="A90" s="299" t="s">
        <v>89</v>
      </c>
      <c r="B90" s="300"/>
      <c r="C90" s="300"/>
      <c r="D90" s="300"/>
      <c r="E90" s="300"/>
      <c r="F90" s="300"/>
      <c r="G90" s="300"/>
      <c r="H90" s="300"/>
      <c r="I90" s="301"/>
    </row>
    <row r="91" spans="1:9" x14ac:dyDescent="0.25">
      <c r="A91" s="311" t="s">
        <v>17</v>
      </c>
      <c r="B91" s="291"/>
      <c r="C91" s="291"/>
      <c r="D91" s="291"/>
      <c r="E91" s="291"/>
      <c r="F91" s="291"/>
      <c r="G91" s="292"/>
      <c r="H91" s="62" t="s">
        <v>55</v>
      </c>
      <c r="I91" s="12" t="s">
        <v>56</v>
      </c>
    </row>
    <row r="92" spans="1:9" x14ac:dyDescent="0.25">
      <c r="A92" s="13" t="s">
        <v>19</v>
      </c>
      <c r="B92" s="324" t="s">
        <v>20</v>
      </c>
      <c r="C92" s="277"/>
      <c r="D92" s="277"/>
      <c r="E92" s="277"/>
      <c r="F92" s="277"/>
      <c r="G92" s="278"/>
      <c r="H92" s="18"/>
      <c r="I92" s="14">
        <f>I84</f>
        <v>376.77</v>
      </c>
    </row>
    <row r="93" spans="1:9" x14ac:dyDescent="0.25">
      <c r="A93" s="13" t="s">
        <v>22</v>
      </c>
      <c r="B93" s="324" t="s">
        <v>23</v>
      </c>
      <c r="C93" s="277"/>
      <c r="D93" s="277"/>
      <c r="E93" s="277"/>
      <c r="F93" s="277"/>
      <c r="G93" s="278"/>
      <c r="H93" s="18"/>
      <c r="I93" s="14">
        <f>I88</f>
        <v>0</v>
      </c>
    </row>
    <row r="94" spans="1:9" ht="16.5" thickBot="1" x14ac:dyDescent="0.3">
      <c r="A94" s="287" t="s">
        <v>90</v>
      </c>
      <c r="B94" s="288"/>
      <c r="C94" s="288"/>
      <c r="D94" s="288"/>
      <c r="E94" s="288"/>
      <c r="F94" s="288"/>
      <c r="G94" s="289"/>
      <c r="H94" s="21"/>
      <c r="I94" s="17">
        <f>I92+I93</f>
        <v>376.77</v>
      </c>
    </row>
    <row r="95" spans="1:9" ht="7.5" customHeight="1" thickBot="1" x14ac:dyDescent="0.3">
      <c r="A95" s="296"/>
      <c r="B95" s="297"/>
      <c r="C95" s="297"/>
      <c r="D95" s="297"/>
      <c r="E95" s="297"/>
      <c r="F95" s="297"/>
      <c r="G95" s="297"/>
      <c r="H95" s="297"/>
      <c r="I95" s="298"/>
    </row>
    <row r="96" spans="1:9" ht="16.5" thickBot="1" x14ac:dyDescent="0.3">
      <c r="A96" s="299" t="s">
        <v>91</v>
      </c>
      <c r="B96" s="300"/>
      <c r="C96" s="300"/>
      <c r="D96" s="300"/>
      <c r="E96" s="300"/>
      <c r="F96" s="300"/>
      <c r="G96" s="300"/>
      <c r="H96" s="300"/>
      <c r="I96" s="301"/>
    </row>
    <row r="97" spans="1:9" x14ac:dyDescent="0.25">
      <c r="A97" s="63">
        <v>5</v>
      </c>
      <c r="B97" s="290" t="s">
        <v>92</v>
      </c>
      <c r="C97" s="291"/>
      <c r="D97" s="291"/>
      <c r="E97" s="291"/>
      <c r="F97" s="291"/>
      <c r="G97" s="292"/>
      <c r="H97" s="62"/>
      <c r="I97" s="12" t="s">
        <v>56</v>
      </c>
    </row>
    <row r="98" spans="1:9" x14ac:dyDescent="0.25">
      <c r="A98" s="13" t="s">
        <v>2</v>
      </c>
      <c r="B98" s="321" t="s">
        <v>93</v>
      </c>
      <c r="C98" s="322"/>
      <c r="D98" s="322"/>
      <c r="E98" s="322"/>
      <c r="F98" s="322"/>
      <c r="G98" s="323"/>
      <c r="H98" s="16" t="s">
        <v>74</v>
      </c>
      <c r="I98" s="14">
        <f>Uniformes!F36</f>
        <v>78.862500000000011</v>
      </c>
    </row>
    <row r="99" spans="1:9" x14ac:dyDescent="0.25">
      <c r="A99" s="13" t="s">
        <v>3</v>
      </c>
      <c r="B99" s="321" t="s">
        <v>175</v>
      </c>
      <c r="C99" s="322"/>
      <c r="D99" s="322"/>
      <c r="E99" s="322"/>
      <c r="F99" s="322"/>
      <c r="G99" s="323"/>
      <c r="H99" s="16" t="s">
        <v>74</v>
      </c>
      <c r="I99" s="121">
        <f>'Materiais e EPI'!G5</f>
        <v>24.073166666666669</v>
      </c>
    </row>
    <row r="100" spans="1:9" x14ac:dyDescent="0.25">
      <c r="A100" s="77" t="s">
        <v>5</v>
      </c>
      <c r="B100" s="274" t="s">
        <v>165</v>
      </c>
      <c r="C100" s="275"/>
      <c r="D100" s="275"/>
      <c r="E100" s="275"/>
      <c r="F100" s="275"/>
      <c r="G100" s="275"/>
      <c r="H100" s="75" t="s">
        <v>74</v>
      </c>
      <c r="I100" s="76">
        <f>'Materiais e EPI'!F20</f>
        <v>19.389166666666664</v>
      </c>
    </row>
    <row r="101" spans="1:9" ht="16.5" thickBot="1" x14ac:dyDescent="0.3">
      <c r="A101" s="287" t="s">
        <v>94</v>
      </c>
      <c r="B101" s="288"/>
      <c r="C101" s="288"/>
      <c r="D101" s="288"/>
      <c r="E101" s="288"/>
      <c r="F101" s="288"/>
      <c r="G101" s="289"/>
      <c r="H101" s="21" t="s">
        <v>74</v>
      </c>
      <c r="I101" s="17">
        <f>ROUND(SUM(I98:I100),2)</f>
        <v>122.32</v>
      </c>
    </row>
    <row r="102" spans="1:9" ht="8.1" customHeight="1" thickBot="1" x14ac:dyDescent="0.3">
      <c r="A102" s="296"/>
      <c r="B102" s="297"/>
      <c r="C102" s="297"/>
      <c r="D102" s="297"/>
      <c r="E102" s="297"/>
      <c r="F102" s="297"/>
      <c r="G102" s="297"/>
      <c r="H102" s="297"/>
      <c r="I102" s="298"/>
    </row>
    <row r="103" spans="1:9" ht="16.5" thickBot="1" x14ac:dyDescent="0.3">
      <c r="A103" s="299" t="s">
        <v>95</v>
      </c>
      <c r="B103" s="300"/>
      <c r="C103" s="300"/>
      <c r="D103" s="300"/>
      <c r="E103" s="300"/>
      <c r="F103" s="300"/>
      <c r="G103" s="300"/>
      <c r="H103" s="300"/>
      <c r="I103" s="301"/>
    </row>
    <row r="104" spans="1:9" x14ac:dyDescent="0.25">
      <c r="A104" s="63">
        <v>6</v>
      </c>
      <c r="B104" s="290" t="s">
        <v>96</v>
      </c>
      <c r="C104" s="291"/>
      <c r="D104" s="291"/>
      <c r="E104" s="291"/>
      <c r="F104" s="291"/>
      <c r="G104" s="292"/>
      <c r="H104" s="62" t="s">
        <v>55</v>
      </c>
      <c r="I104" s="12" t="s">
        <v>56</v>
      </c>
    </row>
    <row r="105" spans="1:9" ht="34.5" customHeight="1" x14ac:dyDescent="0.25">
      <c r="A105" s="293" t="s">
        <v>133</v>
      </c>
      <c r="B105" s="370"/>
      <c r="C105" s="370"/>
      <c r="D105" s="370"/>
      <c r="E105" s="370"/>
      <c r="F105" s="370"/>
      <c r="G105" s="370"/>
      <c r="H105" s="370"/>
      <c r="I105" s="371"/>
    </row>
    <row r="106" spans="1:9" x14ac:dyDescent="0.25">
      <c r="A106" s="13" t="s">
        <v>2</v>
      </c>
      <c r="B106" s="276" t="s">
        <v>0</v>
      </c>
      <c r="C106" s="277"/>
      <c r="D106" s="277"/>
      <c r="E106" s="277"/>
      <c r="F106" s="277"/>
      <c r="G106" s="278"/>
      <c r="H106" s="150">
        <v>0.05</v>
      </c>
      <c r="I106" s="14">
        <f>(H106*I132)</f>
        <v>239.26149999999998</v>
      </c>
    </row>
    <row r="107" spans="1:9" ht="31.5" customHeight="1" x14ac:dyDescent="0.25">
      <c r="A107" s="293" t="s">
        <v>134</v>
      </c>
      <c r="B107" s="294"/>
      <c r="C107" s="294"/>
      <c r="D107" s="294"/>
      <c r="E107" s="294"/>
      <c r="F107" s="294"/>
      <c r="G107" s="294"/>
      <c r="H107" s="294"/>
      <c r="I107" s="295"/>
    </row>
    <row r="108" spans="1:9" ht="15.75" customHeight="1" x14ac:dyDescent="0.25">
      <c r="A108" s="13" t="s">
        <v>3</v>
      </c>
      <c r="B108" s="276" t="s">
        <v>1</v>
      </c>
      <c r="C108" s="277"/>
      <c r="D108" s="277"/>
      <c r="E108" s="277"/>
      <c r="F108" s="277"/>
      <c r="G108" s="278"/>
      <c r="H108" s="150">
        <v>5.8299999999999998E-2</v>
      </c>
      <c r="I108" s="14">
        <f>(H108*(I106+I132))</f>
        <v>292.92785444999993</v>
      </c>
    </row>
    <row r="109" spans="1:9" ht="33.75" customHeight="1" x14ac:dyDescent="0.25">
      <c r="A109" s="293" t="s">
        <v>135</v>
      </c>
      <c r="B109" s="294"/>
      <c r="C109" s="294"/>
      <c r="D109" s="294"/>
      <c r="E109" s="294"/>
      <c r="F109" s="294"/>
      <c r="G109" s="294"/>
      <c r="H109" s="294"/>
      <c r="I109" s="295"/>
    </row>
    <row r="110" spans="1:9" x14ac:dyDescent="0.25">
      <c r="A110" s="13" t="s">
        <v>5</v>
      </c>
      <c r="B110" s="279" t="s">
        <v>97</v>
      </c>
      <c r="C110" s="280"/>
      <c r="D110" s="280"/>
      <c r="E110" s="280"/>
      <c r="F110" s="280"/>
      <c r="G110" s="281"/>
      <c r="H110" s="15"/>
      <c r="I110" s="28"/>
    </row>
    <row r="111" spans="1:9" ht="51.75" customHeight="1" x14ac:dyDescent="0.25">
      <c r="A111" s="13" t="s">
        <v>98</v>
      </c>
      <c r="B111" s="282" t="s">
        <v>172</v>
      </c>
      <c r="C111" s="283"/>
      <c r="D111" s="283"/>
      <c r="E111" s="283"/>
      <c r="F111" s="283"/>
      <c r="G111" s="284"/>
      <c r="H111" s="29">
        <v>6.4999999999999997E-3</v>
      </c>
      <c r="I111" s="14">
        <f>(H111*I121)</f>
        <v>37.836048166392999</v>
      </c>
    </row>
    <row r="112" spans="1:9" ht="54" customHeight="1" x14ac:dyDescent="0.25">
      <c r="A112" s="13" t="s">
        <v>99</v>
      </c>
      <c r="B112" s="282" t="s">
        <v>173</v>
      </c>
      <c r="C112" s="285"/>
      <c r="D112" s="285"/>
      <c r="E112" s="285"/>
      <c r="F112" s="285"/>
      <c r="G112" s="286"/>
      <c r="H112" s="29">
        <v>0.03</v>
      </c>
      <c r="I112" s="14">
        <f>(H112*I121)</f>
        <v>174.62791461412152</v>
      </c>
    </row>
    <row r="113" spans="1:9" ht="32.25" customHeight="1" x14ac:dyDescent="0.25">
      <c r="A113" s="13" t="s">
        <v>100</v>
      </c>
      <c r="B113" s="282" t="s">
        <v>174</v>
      </c>
      <c r="C113" s="283"/>
      <c r="D113" s="283"/>
      <c r="E113" s="283"/>
      <c r="F113" s="283"/>
      <c r="G113" s="284"/>
      <c r="H113" s="15">
        <v>0.05</v>
      </c>
      <c r="I113" s="14">
        <f>(H113*I121)</f>
        <v>291.04652435686921</v>
      </c>
    </row>
    <row r="114" spans="1:9" ht="16.5" thickBot="1" x14ac:dyDescent="0.3">
      <c r="A114" s="287" t="s">
        <v>101</v>
      </c>
      <c r="B114" s="288"/>
      <c r="C114" s="288"/>
      <c r="D114" s="288"/>
      <c r="E114" s="288"/>
      <c r="F114" s="288"/>
      <c r="G114" s="289"/>
      <c r="H114" s="30">
        <f>SUM(H106:H113)</f>
        <v>0.19480000000000003</v>
      </c>
      <c r="I114" s="17">
        <f>ROUND(SUM(I106:I113),2)</f>
        <v>1035.7</v>
      </c>
    </row>
    <row r="115" spans="1:9" ht="8.1" customHeight="1" thickBot="1" x14ac:dyDescent="0.3">
      <c r="A115" s="312"/>
      <c r="B115" s="313"/>
      <c r="C115" s="313"/>
      <c r="D115" s="313"/>
      <c r="E115" s="313"/>
      <c r="F115" s="313"/>
      <c r="G115" s="313"/>
      <c r="H115" s="313"/>
      <c r="I115" s="314"/>
    </row>
    <row r="116" spans="1:9" ht="14.25" customHeight="1" x14ac:dyDescent="0.25">
      <c r="A116" s="31" t="s">
        <v>102</v>
      </c>
      <c r="B116" s="315" t="s">
        <v>103</v>
      </c>
      <c r="C116" s="315"/>
      <c r="D116" s="315"/>
      <c r="E116" s="315"/>
      <c r="F116" s="315"/>
      <c r="G116" s="315"/>
      <c r="H116" s="32">
        <f>(H111+H112+H113)</f>
        <v>8.6499999999999994E-2</v>
      </c>
      <c r="I116" s="33"/>
    </row>
    <row r="117" spans="1:9" ht="12.75" customHeight="1" x14ac:dyDescent="0.25">
      <c r="A117" s="60"/>
      <c r="B117" s="316">
        <v>100</v>
      </c>
      <c r="C117" s="316"/>
      <c r="D117" s="316"/>
      <c r="E117" s="316"/>
      <c r="F117" s="316"/>
      <c r="G117" s="316"/>
      <c r="H117" s="19"/>
      <c r="I117" s="34"/>
    </row>
    <row r="118" spans="1:9" ht="19.149999999999999" customHeight="1" x14ac:dyDescent="0.25">
      <c r="A118" s="35"/>
      <c r="B118" s="209"/>
      <c r="C118" s="209"/>
      <c r="D118" s="209"/>
      <c r="E118" s="209"/>
      <c r="F118" s="209"/>
      <c r="G118" s="209"/>
      <c r="H118" s="19"/>
      <c r="I118" s="34"/>
    </row>
    <row r="119" spans="1:9" ht="15" customHeight="1" x14ac:dyDescent="0.25">
      <c r="A119" s="60" t="s">
        <v>104</v>
      </c>
      <c r="B119" s="316" t="s">
        <v>105</v>
      </c>
      <c r="C119" s="316"/>
      <c r="D119" s="316"/>
      <c r="E119" s="316"/>
      <c r="F119" s="316"/>
      <c r="G119" s="316"/>
      <c r="H119" s="19"/>
      <c r="I119" s="36">
        <f>ROUND(I132+I106+I108,2)</f>
        <v>5317.42</v>
      </c>
    </row>
    <row r="120" spans="1:9" ht="6.75" customHeight="1" x14ac:dyDescent="0.25">
      <c r="A120" s="60"/>
      <c r="B120" s="209"/>
      <c r="C120" s="209"/>
      <c r="D120" s="209"/>
      <c r="E120" s="209"/>
      <c r="F120" s="209"/>
      <c r="G120" s="209"/>
      <c r="H120" s="19"/>
      <c r="I120" s="34"/>
    </row>
    <row r="121" spans="1:9" ht="14.25" customHeight="1" x14ac:dyDescent="0.25">
      <c r="A121" s="60" t="s">
        <v>106</v>
      </c>
      <c r="B121" s="316" t="s">
        <v>107</v>
      </c>
      <c r="C121" s="316"/>
      <c r="D121" s="316"/>
      <c r="E121" s="316"/>
      <c r="F121" s="316"/>
      <c r="G121" s="316"/>
      <c r="H121" s="19"/>
      <c r="I121" s="37">
        <f>(I119/(1-H116))</f>
        <v>5820.9304871373843</v>
      </c>
    </row>
    <row r="122" spans="1:9" ht="19.899999999999999" customHeight="1" x14ac:dyDescent="0.25">
      <c r="A122" s="60"/>
      <c r="B122" s="209"/>
      <c r="C122" s="209"/>
      <c r="D122" s="209"/>
      <c r="E122" s="209"/>
      <c r="F122" s="209"/>
      <c r="G122" s="209"/>
      <c r="H122" s="19"/>
      <c r="I122" s="34"/>
    </row>
    <row r="123" spans="1:9" ht="13.5" customHeight="1" thickBot="1" x14ac:dyDescent="0.3">
      <c r="A123" s="38"/>
      <c r="B123" s="317" t="s">
        <v>108</v>
      </c>
      <c r="C123" s="317"/>
      <c r="D123" s="317"/>
      <c r="E123" s="317"/>
      <c r="F123" s="317"/>
      <c r="G123" s="317"/>
      <c r="H123" s="39"/>
      <c r="I123" s="40">
        <f>(I121-I119)</f>
        <v>503.51048713738419</v>
      </c>
    </row>
    <row r="124" spans="1:9" ht="28.5" customHeight="1" thickBot="1" x14ac:dyDescent="0.3">
      <c r="A124" s="308" t="s">
        <v>136</v>
      </c>
      <c r="B124" s="309"/>
      <c r="C124" s="309"/>
      <c r="D124" s="309"/>
      <c r="E124" s="309"/>
      <c r="F124" s="309"/>
      <c r="G124" s="309"/>
      <c r="H124" s="309"/>
      <c r="I124" s="310"/>
    </row>
    <row r="125" spans="1:9" ht="16.5" thickBot="1" x14ac:dyDescent="0.3">
      <c r="A125" s="299" t="s">
        <v>109</v>
      </c>
      <c r="B125" s="300"/>
      <c r="C125" s="300"/>
      <c r="D125" s="300"/>
      <c r="E125" s="300"/>
      <c r="F125" s="300"/>
      <c r="G125" s="300"/>
      <c r="H125" s="300"/>
      <c r="I125" s="301"/>
    </row>
    <row r="126" spans="1:9" x14ac:dyDescent="0.25">
      <c r="A126" s="311" t="s">
        <v>110</v>
      </c>
      <c r="B126" s="291"/>
      <c r="C126" s="291"/>
      <c r="D126" s="291"/>
      <c r="E126" s="291"/>
      <c r="F126" s="291"/>
      <c r="G126" s="291"/>
      <c r="H126" s="292"/>
      <c r="I126" s="12" t="s">
        <v>56</v>
      </c>
    </row>
    <row r="127" spans="1:9" x14ac:dyDescent="0.25">
      <c r="A127" s="5" t="s">
        <v>2</v>
      </c>
      <c r="B127" s="302" t="str">
        <f>A23</f>
        <v>MÓDULO 1 - COMPOSIÇÃO DA REMUNERAÇÃO</v>
      </c>
      <c r="C127" s="303"/>
      <c r="D127" s="303"/>
      <c r="E127" s="303"/>
      <c r="F127" s="303"/>
      <c r="G127" s="303"/>
      <c r="H127" s="304"/>
      <c r="I127" s="14">
        <f>I31</f>
        <v>2002.81</v>
      </c>
    </row>
    <row r="128" spans="1:9" x14ac:dyDescent="0.25">
      <c r="A128" s="5" t="s">
        <v>3</v>
      </c>
      <c r="B128" s="302" t="str">
        <f>A33</f>
        <v>MÓDULO 2 – ENCARGOS E BENEFÍCIOS ANUAIS, MENSAIS E DIÁRIOS</v>
      </c>
      <c r="C128" s="303"/>
      <c r="D128" s="303"/>
      <c r="E128" s="303"/>
      <c r="F128" s="303"/>
      <c r="G128" s="303"/>
      <c r="H128" s="304"/>
      <c r="I128" s="14">
        <f>I62</f>
        <v>2140.9299999999998</v>
      </c>
    </row>
    <row r="129" spans="1:12" x14ac:dyDescent="0.25">
      <c r="A129" s="5" t="s">
        <v>5</v>
      </c>
      <c r="B129" s="302" t="str">
        <f>A64</f>
        <v>MÓDULO 3 – PROVISÃO PARA RESCISÃO</v>
      </c>
      <c r="C129" s="303"/>
      <c r="D129" s="303"/>
      <c r="E129" s="303"/>
      <c r="F129" s="303"/>
      <c r="G129" s="303"/>
      <c r="H129" s="304"/>
      <c r="I129" s="14">
        <f>I71</f>
        <v>142.39999999999998</v>
      </c>
    </row>
    <row r="130" spans="1:12" ht="15.75" customHeight="1" x14ac:dyDescent="0.25">
      <c r="A130" s="41" t="s">
        <v>6</v>
      </c>
      <c r="B130" s="302" t="str">
        <f>A73</f>
        <v>MÓDULO 4 – CUSTO DE REPOSIÇÃO DO PROFISSIONAL AUSENTE</v>
      </c>
      <c r="C130" s="303"/>
      <c r="D130" s="303"/>
      <c r="E130" s="303"/>
      <c r="F130" s="303"/>
      <c r="G130" s="303"/>
      <c r="H130" s="304"/>
      <c r="I130" s="14">
        <f>I94</f>
        <v>376.77</v>
      </c>
    </row>
    <row r="131" spans="1:12" ht="15.75" customHeight="1" x14ac:dyDescent="0.25">
      <c r="A131" s="41" t="s">
        <v>7</v>
      </c>
      <c r="B131" s="302" t="str">
        <f>A96</f>
        <v>MÓDULO 5 – INSUMOS DIVERSOS</v>
      </c>
      <c r="C131" s="303"/>
      <c r="D131" s="303"/>
      <c r="E131" s="303"/>
      <c r="F131" s="303"/>
      <c r="G131" s="303"/>
      <c r="H131" s="304"/>
      <c r="I131" s="14">
        <f>I101</f>
        <v>122.32</v>
      </c>
    </row>
    <row r="132" spans="1:12" x14ac:dyDescent="0.25">
      <c r="A132" s="13"/>
      <c r="B132" s="318" t="s">
        <v>111</v>
      </c>
      <c r="C132" s="319"/>
      <c r="D132" s="319"/>
      <c r="E132" s="319"/>
      <c r="F132" s="319"/>
      <c r="G132" s="319"/>
      <c r="H132" s="320"/>
      <c r="I132" s="42">
        <f>ROUND(SUM(I127:I131),2)</f>
        <v>4785.2299999999996</v>
      </c>
    </row>
    <row r="133" spans="1:12" ht="15.75" customHeight="1" x14ac:dyDescent="0.25">
      <c r="A133" s="41" t="s">
        <v>8</v>
      </c>
      <c r="B133" s="302" t="str">
        <f>A103</f>
        <v>MÓDULO 6 – CUSTOS INDIRETOS, TRIBUTOS E LUCRO</v>
      </c>
      <c r="C133" s="303"/>
      <c r="D133" s="303"/>
      <c r="E133" s="303"/>
      <c r="F133" s="303"/>
      <c r="G133" s="303"/>
      <c r="H133" s="304"/>
      <c r="I133" s="14">
        <f>I114</f>
        <v>1035.7</v>
      </c>
    </row>
    <row r="134" spans="1:12" ht="16.5" thickBot="1" x14ac:dyDescent="0.3">
      <c r="A134" s="305" t="s">
        <v>112</v>
      </c>
      <c r="B134" s="306"/>
      <c r="C134" s="306"/>
      <c r="D134" s="306"/>
      <c r="E134" s="306"/>
      <c r="F134" s="306"/>
      <c r="G134" s="306"/>
      <c r="H134" s="307"/>
      <c r="I134" s="43">
        <f>ROUND(SUM(I132:I133),2)</f>
        <v>5820.93</v>
      </c>
      <c r="K134" s="46"/>
      <c r="L134" s="23"/>
    </row>
  </sheetData>
  <mergeCells count="133">
    <mergeCell ref="B129:H129"/>
    <mergeCell ref="B130:H130"/>
    <mergeCell ref="B131:H131"/>
    <mergeCell ref="B132:H132"/>
    <mergeCell ref="B133:H133"/>
    <mergeCell ref="A134:H134"/>
    <mergeCell ref="B123:G123"/>
    <mergeCell ref="A124:I124"/>
    <mergeCell ref="A125:I125"/>
    <mergeCell ref="A126:H126"/>
    <mergeCell ref="B127:H127"/>
    <mergeCell ref="B128:H128"/>
    <mergeCell ref="A114:G114"/>
    <mergeCell ref="A115:I115"/>
    <mergeCell ref="B116:G116"/>
    <mergeCell ref="B117:G117"/>
    <mergeCell ref="B119:G119"/>
    <mergeCell ref="B121:G121"/>
    <mergeCell ref="B108:G108"/>
    <mergeCell ref="A109:I109"/>
    <mergeCell ref="B110:G110"/>
    <mergeCell ref="B111:G111"/>
    <mergeCell ref="B112:G112"/>
    <mergeCell ref="B113:G113"/>
    <mergeCell ref="A102:I102"/>
    <mergeCell ref="A103:I103"/>
    <mergeCell ref="B104:G104"/>
    <mergeCell ref="A105:I105"/>
    <mergeCell ref="B106:G106"/>
    <mergeCell ref="A107:I107"/>
    <mergeCell ref="A96:I96"/>
    <mergeCell ref="B97:G97"/>
    <mergeCell ref="B98:G98"/>
    <mergeCell ref="B99:G99"/>
    <mergeCell ref="B100:G100"/>
    <mergeCell ref="A101:G101"/>
    <mergeCell ref="A90:I90"/>
    <mergeCell ref="A91:G91"/>
    <mergeCell ref="B92:G92"/>
    <mergeCell ref="B93:G93"/>
    <mergeCell ref="A94:G94"/>
    <mergeCell ref="A95:I95"/>
    <mergeCell ref="A84:G84"/>
    <mergeCell ref="A85:I85"/>
    <mergeCell ref="A86:G86"/>
    <mergeCell ref="B87:G87"/>
    <mergeCell ref="A88:G88"/>
    <mergeCell ref="A89:I89"/>
    <mergeCell ref="B78:G78"/>
    <mergeCell ref="B79:G79"/>
    <mergeCell ref="B80:G80"/>
    <mergeCell ref="B81:G81"/>
    <mergeCell ref="B82:G82"/>
    <mergeCell ref="B83:G83"/>
    <mergeCell ref="A72:I72"/>
    <mergeCell ref="A73:I73"/>
    <mergeCell ref="A74:I74"/>
    <mergeCell ref="A75:I75"/>
    <mergeCell ref="G76:H76"/>
    <mergeCell ref="A77:G77"/>
    <mergeCell ref="B66:G66"/>
    <mergeCell ref="B67:G67"/>
    <mergeCell ref="B68:G68"/>
    <mergeCell ref="B69:G69"/>
    <mergeCell ref="B70:G70"/>
    <mergeCell ref="A71:G71"/>
    <mergeCell ref="B60:H60"/>
    <mergeCell ref="B61:H61"/>
    <mergeCell ref="A62:H62"/>
    <mergeCell ref="A63:I63"/>
    <mergeCell ref="A64:I64"/>
    <mergeCell ref="B65:G65"/>
    <mergeCell ref="B54:G54"/>
    <mergeCell ref="A55:H55"/>
    <mergeCell ref="A56:I56"/>
    <mergeCell ref="A57:I57"/>
    <mergeCell ref="A58:H58"/>
    <mergeCell ref="B59:H59"/>
    <mergeCell ref="A48:G48"/>
    <mergeCell ref="A49:I49"/>
    <mergeCell ref="A50:G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36:G36"/>
    <mergeCell ref="A37:G37"/>
    <mergeCell ref="A38:I38"/>
    <mergeCell ref="A39:G39"/>
    <mergeCell ref="B40:G40"/>
    <mergeCell ref="B41:G41"/>
    <mergeCell ref="B30:G30"/>
    <mergeCell ref="A31:H31"/>
    <mergeCell ref="A32:I32"/>
    <mergeCell ref="A33:I33"/>
    <mergeCell ref="A34:G34"/>
    <mergeCell ref="B35:G35"/>
    <mergeCell ref="B24:G24"/>
    <mergeCell ref="B25:G25"/>
    <mergeCell ref="B26:G26"/>
    <mergeCell ref="B27:G27"/>
    <mergeCell ref="B28:G28"/>
    <mergeCell ref="B29:G29"/>
    <mergeCell ref="B18:H18"/>
    <mergeCell ref="B19:H19"/>
    <mergeCell ref="B20:H20"/>
    <mergeCell ref="B21:H21"/>
    <mergeCell ref="A22:I22"/>
    <mergeCell ref="A23:I23"/>
    <mergeCell ref="A12:I12"/>
    <mergeCell ref="A13:I13"/>
    <mergeCell ref="A14:I14"/>
    <mergeCell ref="A15:I15"/>
    <mergeCell ref="A16:I16"/>
    <mergeCell ref="B17:H17"/>
    <mergeCell ref="B7:H7"/>
    <mergeCell ref="A8:I8"/>
    <mergeCell ref="A9:I9"/>
    <mergeCell ref="A10:F10"/>
    <mergeCell ref="G10:H10"/>
    <mergeCell ref="A11:F11"/>
    <mergeCell ref="G11:H11"/>
    <mergeCell ref="A1:I1"/>
    <mergeCell ref="A2:I2"/>
    <mergeCell ref="A3:I3"/>
    <mergeCell ref="B4:H4"/>
    <mergeCell ref="B5:H5"/>
    <mergeCell ref="B6:H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  <rowBreaks count="1" manualBreakCount="1">
    <brk id="6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C11AB-A406-4ABE-B0A9-4D47E7101A42}">
  <sheetPr>
    <tabColor rgb="FF7030A0"/>
  </sheetPr>
  <dimension ref="A1:G21"/>
  <sheetViews>
    <sheetView topLeftCell="A10" workbookViewId="0">
      <selection activeCell="B11" sqref="B11"/>
    </sheetView>
  </sheetViews>
  <sheetFormatPr defaultRowHeight="15" x14ac:dyDescent="0.25"/>
  <cols>
    <col min="1" max="1" width="11.5703125" customWidth="1"/>
    <col min="2" max="2" width="32.140625" customWidth="1"/>
    <col min="3" max="3" width="14.42578125" customWidth="1"/>
    <col min="4" max="4" width="13.42578125" customWidth="1"/>
    <col min="5" max="5" width="14.140625" customWidth="1"/>
    <col min="6" max="6" width="16.5703125" customWidth="1"/>
    <col min="7" max="7" width="15.5703125" customWidth="1"/>
  </cols>
  <sheetData>
    <row r="1" spans="1:7" x14ac:dyDescent="0.25">
      <c r="A1" s="387" t="s">
        <v>159</v>
      </c>
      <c r="B1" s="388"/>
      <c r="C1" s="389"/>
      <c r="D1" s="389"/>
      <c r="E1" s="389"/>
      <c r="F1" s="389"/>
      <c r="G1" s="390"/>
    </row>
    <row r="2" spans="1:7" ht="38.25" x14ac:dyDescent="0.25">
      <c r="A2" s="85" t="s">
        <v>160</v>
      </c>
      <c r="B2" s="85" t="s">
        <v>161</v>
      </c>
      <c r="C2" s="86" t="s">
        <v>169</v>
      </c>
      <c r="D2" s="86" t="s">
        <v>162</v>
      </c>
      <c r="E2" s="86" t="s">
        <v>167</v>
      </c>
      <c r="F2" s="86" t="s">
        <v>166</v>
      </c>
      <c r="G2" s="86" t="s">
        <v>163</v>
      </c>
    </row>
    <row r="3" spans="1:7" ht="30" x14ac:dyDescent="0.25">
      <c r="A3" s="87">
        <v>1</v>
      </c>
      <c r="B3" s="92" t="s">
        <v>385</v>
      </c>
      <c r="C3" s="92" t="s">
        <v>169</v>
      </c>
      <c r="D3" s="87">
        <v>1</v>
      </c>
      <c r="E3" s="74">
        <v>311.72000000000003</v>
      </c>
      <c r="F3" s="223">
        <v>60</v>
      </c>
      <c r="G3" s="74">
        <f>E3/F3</f>
        <v>5.195333333333334</v>
      </c>
    </row>
    <row r="4" spans="1:7" ht="30" x14ac:dyDescent="0.25">
      <c r="A4" s="87">
        <v>2</v>
      </c>
      <c r="B4" s="92" t="s">
        <v>386</v>
      </c>
      <c r="C4" s="92" t="s">
        <v>169</v>
      </c>
      <c r="D4" s="87">
        <v>1</v>
      </c>
      <c r="E4" s="74">
        <v>1132.67</v>
      </c>
      <c r="F4" s="223">
        <v>60</v>
      </c>
      <c r="G4" s="74">
        <f t="shared" ref="G4" si="0">E4/F4</f>
        <v>18.877833333333335</v>
      </c>
    </row>
    <row r="5" spans="1:7" x14ac:dyDescent="0.25">
      <c r="A5" s="387" t="s">
        <v>233</v>
      </c>
      <c r="B5" s="388"/>
      <c r="C5" s="388"/>
      <c r="D5" s="388"/>
      <c r="E5" s="388"/>
      <c r="F5" s="390"/>
      <c r="G5" s="89">
        <f>SUM(G3:G4)</f>
        <v>24.073166666666669</v>
      </c>
    </row>
    <row r="6" spans="1:7" x14ac:dyDescent="0.25">
      <c r="A6" s="407" t="s">
        <v>164</v>
      </c>
      <c r="B6" s="407"/>
      <c r="C6" s="407"/>
      <c r="D6" s="407"/>
      <c r="E6" s="407"/>
      <c r="F6" s="407"/>
      <c r="G6" s="407"/>
    </row>
    <row r="7" spans="1:7" x14ac:dyDescent="0.25">
      <c r="A7" s="407" t="s">
        <v>392</v>
      </c>
      <c r="B7" s="407"/>
      <c r="C7" s="407"/>
      <c r="D7" s="407"/>
      <c r="E7" s="407"/>
      <c r="F7" s="407"/>
      <c r="G7" s="407"/>
    </row>
    <row r="8" spans="1:7" x14ac:dyDescent="0.25">
      <c r="A8" s="407"/>
      <c r="B8" s="407"/>
      <c r="C8" s="407"/>
      <c r="D8" s="407"/>
      <c r="E8" s="407"/>
      <c r="F8" s="407"/>
      <c r="G8" s="407"/>
    </row>
    <row r="9" spans="1:7" x14ac:dyDescent="0.25">
      <c r="A9" s="407"/>
      <c r="B9" s="407"/>
      <c r="C9" s="407"/>
      <c r="D9" s="407"/>
      <c r="E9" s="407"/>
      <c r="F9" s="407"/>
      <c r="G9" s="407"/>
    </row>
    <row r="10" spans="1:7" x14ac:dyDescent="0.25">
      <c r="A10" s="384" t="s">
        <v>394</v>
      </c>
      <c r="B10" s="385"/>
      <c r="C10" s="385"/>
      <c r="D10" s="385"/>
      <c r="E10" s="385"/>
      <c r="F10" s="385"/>
      <c r="G10" s="386"/>
    </row>
    <row r="11" spans="1:7" ht="15.75" thickBot="1" x14ac:dyDescent="0.3"/>
    <row r="12" spans="1:7" ht="15.75" thickBot="1" x14ac:dyDescent="0.3">
      <c r="A12" s="429" t="s">
        <v>384</v>
      </c>
      <c r="B12" s="430"/>
      <c r="C12" s="430"/>
      <c r="D12" s="430"/>
      <c r="E12" s="430"/>
      <c r="F12" s="431"/>
    </row>
    <row r="13" spans="1:7" ht="60" x14ac:dyDescent="0.25">
      <c r="A13" s="224" t="s">
        <v>29</v>
      </c>
      <c r="B13" s="224" t="s">
        <v>239</v>
      </c>
      <c r="C13" s="224" t="s">
        <v>240</v>
      </c>
      <c r="D13" s="225" t="s">
        <v>241</v>
      </c>
      <c r="E13" s="224" t="s">
        <v>273</v>
      </c>
      <c r="F13" s="224" t="s">
        <v>242</v>
      </c>
    </row>
    <row r="14" spans="1:7" s="231" customFormat="1" ht="93" customHeight="1" x14ac:dyDescent="0.25">
      <c r="A14" s="206">
        <v>1</v>
      </c>
      <c r="B14" s="230" t="s">
        <v>387</v>
      </c>
      <c r="C14" s="206" t="s">
        <v>181</v>
      </c>
      <c r="D14" s="206">
        <v>2</v>
      </c>
      <c r="E14" s="228">
        <v>23.22</v>
      </c>
      <c r="F14" s="228">
        <f>D14*E14</f>
        <v>46.44</v>
      </c>
    </row>
    <row r="15" spans="1:7" ht="156" customHeight="1" x14ac:dyDescent="0.25">
      <c r="A15" s="206">
        <v>2</v>
      </c>
      <c r="B15" s="207" t="s">
        <v>391</v>
      </c>
      <c r="C15" s="206" t="s">
        <v>38</v>
      </c>
      <c r="D15" s="206">
        <v>1</v>
      </c>
      <c r="E15" s="228">
        <v>50.25</v>
      </c>
      <c r="F15" s="228">
        <f t="shared" ref="F15:F18" si="1">D15*E15</f>
        <v>50.25</v>
      </c>
    </row>
    <row r="16" spans="1:7" ht="60" x14ac:dyDescent="0.25">
      <c r="A16" s="206">
        <v>3</v>
      </c>
      <c r="B16" s="227" t="s">
        <v>388</v>
      </c>
      <c r="C16" s="206" t="s">
        <v>181</v>
      </c>
      <c r="D16" s="206">
        <v>1</v>
      </c>
      <c r="E16" s="228">
        <v>2.64</v>
      </c>
      <c r="F16" s="228">
        <f t="shared" si="1"/>
        <v>2.64</v>
      </c>
    </row>
    <row r="17" spans="1:6" ht="75" x14ac:dyDescent="0.25">
      <c r="A17" s="206">
        <v>4</v>
      </c>
      <c r="B17" s="227" t="s">
        <v>389</v>
      </c>
      <c r="C17" s="206" t="s">
        <v>38</v>
      </c>
      <c r="D17" s="206">
        <v>2</v>
      </c>
      <c r="E17" s="228">
        <v>57.03</v>
      </c>
      <c r="F17" s="228">
        <f t="shared" si="1"/>
        <v>114.06</v>
      </c>
    </row>
    <row r="18" spans="1:6" ht="120" x14ac:dyDescent="0.25">
      <c r="A18" s="206">
        <v>5</v>
      </c>
      <c r="B18" s="227" t="s">
        <v>390</v>
      </c>
      <c r="C18" s="206" t="s">
        <v>38</v>
      </c>
      <c r="D18" s="206">
        <v>1</v>
      </c>
      <c r="E18" s="228">
        <v>19.28</v>
      </c>
      <c r="F18" s="228">
        <f t="shared" si="1"/>
        <v>19.28</v>
      </c>
    </row>
    <row r="19" spans="1:6" x14ac:dyDescent="0.25">
      <c r="A19" s="426" t="s">
        <v>271</v>
      </c>
      <c r="B19" s="427"/>
      <c r="C19" s="427"/>
      <c r="D19" s="427"/>
      <c r="E19" s="428"/>
      <c r="F19" s="229">
        <f>SUM(F14:F18)</f>
        <v>232.67</v>
      </c>
    </row>
    <row r="20" spans="1:6" x14ac:dyDescent="0.25">
      <c r="A20" s="432" t="s">
        <v>272</v>
      </c>
      <c r="B20" s="433"/>
      <c r="C20" s="433"/>
      <c r="D20" s="433"/>
      <c r="E20" s="434"/>
      <c r="F20" s="226">
        <f>F19/12</f>
        <v>19.389166666666664</v>
      </c>
    </row>
    <row r="21" spans="1:6" ht="51.6" customHeight="1" x14ac:dyDescent="0.25">
      <c r="A21" s="425" t="s">
        <v>393</v>
      </c>
      <c r="B21" s="425"/>
      <c r="C21" s="425"/>
      <c r="D21" s="425"/>
      <c r="E21" s="425"/>
      <c r="F21" s="425"/>
    </row>
  </sheetData>
  <mergeCells count="9">
    <mergeCell ref="A21:F21"/>
    <mergeCell ref="A19:E19"/>
    <mergeCell ref="A12:F12"/>
    <mergeCell ref="A20:E20"/>
    <mergeCell ref="A1:G1"/>
    <mergeCell ref="A5:F5"/>
    <mergeCell ref="A6:G6"/>
    <mergeCell ref="A7:G9"/>
    <mergeCell ref="A10:G10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330EE-7AF6-4B3E-8B57-16CA4A696ED4}">
  <dimension ref="A1:E17"/>
  <sheetViews>
    <sheetView workbookViewId="0">
      <selection activeCell="A20" sqref="A20"/>
    </sheetView>
  </sheetViews>
  <sheetFormatPr defaultRowHeight="15" x14ac:dyDescent="0.25"/>
  <cols>
    <col min="1" max="1" width="24.28515625" customWidth="1"/>
    <col min="2" max="2" width="12.7109375" customWidth="1"/>
    <col min="3" max="3" width="15" customWidth="1"/>
    <col min="4" max="4" width="10.7109375" customWidth="1"/>
    <col min="5" max="5" width="15.140625" customWidth="1"/>
  </cols>
  <sheetData>
    <row r="1" spans="1:5" x14ac:dyDescent="0.25">
      <c r="A1" s="435" t="s">
        <v>118</v>
      </c>
      <c r="B1" s="436"/>
      <c r="C1" s="436"/>
      <c r="D1" s="436"/>
      <c r="E1" s="437"/>
    </row>
    <row r="2" spans="1:5" x14ac:dyDescent="0.25">
      <c r="A2" s="54" t="s">
        <v>119</v>
      </c>
      <c r="B2" s="54" t="s">
        <v>120</v>
      </c>
      <c r="C2" s="54" t="s">
        <v>121</v>
      </c>
      <c r="D2" s="54" t="s">
        <v>122</v>
      </c>
      <c r="E2" s="54" t="s">
        <v>123</v>
      </c>
    </row>
    <row r="3" spans="1:5" x14ac:dyDescent="0.25">
      <c r="A3" s="55" t="s">
        <v>199</v>
      </c>
      <c r="B3" s="56">
        <v>4</v>
      </c>
      <c r="C3" s="55">
        <v>22</v>
      </c>
      <c r="D3" s="55">
        <v>4</v>
      </c>
      <c r="E3" s="57">
        <f>(B3*C3)*D3</f>
        <v>352</v>
      </c>
    </row>
    <row r="4" spans="1:5" x14ac:dyDescent="0.25">
      <c r="A4" s="55" t="s">
        <v>231</v>
      </c>
      <c r="B4" s="56">
        <v>4</v>
      </c>
      <c r="C4" s="55">
        <v>22</v>
      </c>
      <c r="D4" s="55">
        <v>4</v>
      </c>
      <c r="E4" s="57">
        <f t="shared" ref="E4:E5" si="0">(B4*C4)*D4</f>
        <v>352</v>
      </c>
    </row>
    <row r="5" spans="1:5" x14ac:dyDescent="0.25">
      <c r="A5" s="55" t="s">
        <v>381</v>
      </c>
      <c r="B5" s="56">
        <v>4</v>
      </c>
      <c r="C5" s="55">
        <v>22</v>
      </c>
      <c r="D5" s="55">
        <v>4</v>
      </c>
      <c r="E5" s="57">
        <f t="shared" si="0"/>
        <v>352</v>
      </c>
    </row>
    <row r="7" spans="1:5" x14ac:dyDescent="0.25">
      <c r="A7" s="438" t="s">
        <v>124</v>
      </c>
      <c r="B7" s="438"/>
      <c r="C7" s="438"/>
      <c r="D7" s="438"/>
    </row>
    <row r="8" spans="1:5" x14ac:dyDescent="0.25">
      <c r="A8" s="54" t="s">
        <v>119</v>
      </c>
      <c r="B8" s="54" t="s">
        <v>57</v>
      </c>
      <c r="C8" s="54" t="s">
        <v>125</v>
      </c>
      <c r="D8" s="54" t="s">
        <v>123</v>
      </c>
    </row>
    <row r="9" spans="1:5" x14ac:dyDescent="0.25">
      <c r="A9" s="55" t="s">
        <v>199</v>
      </c>
      <c r="B9" s="56">
        <v>1518</v>
      </c>
      <c r="C9" s="58">
        <v>0.06</v>
      </c>
      <c r="D9" s="57">
        <f>C9*B9</f>
        <v>91.08</v>
      </c>
    </row>
    <row r="10" spans="1:5" x14ac:dyDescent="0.25">
      <c r="A10" s="55" t="s">
        <v>231</v>
      </c>
      <c r="B10" s="56">
        <v>1518</v>
      </c>
      <c r="C10" s="58">
        <v>0.06</v>
      </c>
      <c r="D10" s="57">
        <f t="shared" ref="D10" si="1">C10*B10</f>
        <v>91.08</v>
      </c>
    </row>
    <row r="11" spans="1:5" x14ac:dyDescent="0.25">
      <c r="A11" s="55" t="s">
        <v>381</v>
      </c>
      <c r="B11" s="56">
        <v>1518</v>
      </c>
      <c r="C11" s="58">
        <v>0.06</v>
      </c>
      <c r="D11" s="57">
        <f t="shared" ref="D11" si="2">C11*B11</f>
        <v>91.08</v>
      </c>
    </row>
    <row r="12" spans="1:5" x14ac:dyDescent="0.25">
      <c r="A12" s="217" t="s">
        <v>382</v>
      </c>
    </row>
    <row r="13" spans="1:5" x14ac:dyDescent="0.25">
      <c r="A13" s="435" t="s">
        <v>126</v>
      </c>
      <c r="B13" s="436"/>
      <c r="C13" s="436"/>
      <c r="D13" s="439"/>
    </row>
    <row r="14" spans="1:5" x14ac:dyDescent="0.25">
      <c r="A14" s="54" t="s">
        <v>119</v>
      </c>
      <c r="B14" s="54" t="s">
        <v>127</v>
      </c>
      <c r="C14" s="54" t="s">
        <v>128</v>
      </c>
      <c r="D14" s="54" t="s">
        <v>129</v>
      </c>
    </row>
    <row r="15" spans="1:5" x14ac:dyDescent="0.25">
      <c r="A15" s="55" t="s">
        <v>199</v>
      </c>
      <c r="B15" s="57">
        <f>E3</f>
        <v>352</v>
      </c>
      <c r="C15" s="57">
        <f>D9</f>
        <v>91.08</v>
      </c>
      <c r="D15" s="59">
        <f>B15-C15</f>
        <v>260.92</v>
      </c>
    </row>
    <row r="16" spans="1:5" x14ac:dyDescent="0.25">
      <c r="A16" s="55" t="s">
        <v>231</v>
      </c>
      <c r="B16" s="57">
        <f>E4</f>
        <v>352</v>
      </c>
      <c r="C16" s="57">
        <f>D10</f>
        <v>91.08</v>
      </c>
      <c r="D16" s="59">
        <f t="shared" ref="D16" si="3">B16-C16</f>
        <v>260.92</v>
      </c>
    </row>
    <row r="17" spans="1:4" x14ac:dyDescent="0.25">
      <c r="A17" s="55" t="s">
        <v>381</v>
      </c>
      <c r="B17" s="57">
        <f>E5</f>
        <v>352</v>
      </c>
      <c r="C17" s="57">
        <f>D11</f>
        <v>91.08</v>
      </c>
      <c r="D17" s="59">
        <f t="shared" ref="D17" si="4">B17-C17</f>
        <v>260.92</v>
      </c>
    </row>
  </sheetData>
  <mergeCells count="3">
    <mergeCell ref="A1:E1"/>
    <mergeCell ref="A7:D7"/>
    <mergeCell ref="A13:D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A385-8701-4815-BDCA-D0FF8E64CD53}">
  <dimension ref="A1:E11"/>
  <sheetViews>
    <sheetView workbookViewId="0">
      <selection activeCell="B4" sqref="B4"/>
    </sheetView>
  </sheetViews>
  <sheetFormatPr defaultRowHeight="15" x14ac:dyDescent="0.25"/>
  <cols>
    <col min="1" max="1" width="24.28515625" customWidth="1"/>
    <col min="2" max="2" width="12.7109375" customWidth="1"/>
    <col min="3" max="3" width="15" customWidth="1"/>
    <col min="4" max="4" width="10.7109375" customWidth="1"/>
    <col min="5" max="5" width="15.140625" customWidth="1"/>
  </cols>
  <sheetData>
    <row r="1" spans="1:5" x14ac:dyDescent="0.25">
      <c r="A1" s="435" t="s">
        <v>118</v>
      </c>
      <c r="B1" s="436"/>
      <c r="C1" s="436"/>
      <c r="D1" s="436"/>
      <c r="E1" s="437"/>
    </row>
    <row r="2" spans="1:5" x14ac:dyDescent="0.25">
      <c r="A2" s="100" t="s">
        <v>119</v>
      </c>
      <c r="B2" s="100" t="s">
        <v>120</v>
      </c>
      <c r="C2" s="100" t="s">
        <v>121</v>
      </c>
      <c r="D2" s="100" t="s">
        <v>122</v>
      </c>
      <c r="E2" s="100" t="s">
        <v>123</v>
      </c>
    </row>
    <row r="3" spans="1:5" x14ac:dyDescent="0.25">
      <c r="A3" s="55" t="s">
        <v>193</v>
      </c>
      <c r="B3" s="56">
        <v>3.8</v>
      </c>
      <c r="C3" s="55">
        <v>22</v>
      </c>
      <c r="D3" s="55">
        <v>4</v>
      </c>
      <c r="E3" s="57">
        <f t="shared" ref="E3" si="0">(B3*C3)*D3</f>
        <v>334.4</v>
      </c>
    </row>
    <row r="5" spans="1:5" x14ac:dyDescent="0.25">
      <c r="A5" s="438" t="s">
        <v>124</v>
      </c>
      <c r="B5" s="438"/>
      <c r="C5" s="438"/>
      <c r="D5" s="438"/>
    </row>
    <row r="6" spans="1:5" x14ac:dyDescent="0.25">
      <c r="A6" s="100" t="s">
        <v>119</v>
      </c>
      <c r="B6" s="100" t="s">
        <v>57</v>
      </c>
      <c r="C6" s="100" t="s">
        <v>125</v>
      </c>
      <c r="D6" s="100" t="s">
        <v>123</v>
      </c>
    </row>
    <row r="7" spans="1:5" x14ac:dyDescent="0.25">
      <c r="A7" s="55" t="s">
        <v>193</v>
      </c>
      <c r="B7" s="56">
        <f>'LIMPEZA PHB'!I19</f>
        <v>1553.96</v>
      </c>
      <c r="C7" s="58">
        <v>0.06</v>
      </c>
      <c r="D7" s="57">
        <f t="shared" ref="D7" si="1">C7*B7</f>
        <v>93.2376</v>
      </c>
    </row>
    <row r="9" spans="1:5" x14ac:dyDescent="0.25">
      <c r="A9" s="435" t="s">
        <v>126</v>
      </c>
      <c r="B9" s="436"/>
      <c r="C9" s="436"/>
      <c r="D9" s="439"/>
    </row>
    <row r="10" spans="1:5" x14ac:dyDescent="0.25">
      <c r="A10" s="100" t="s">
        <v>119</v>
      </c>
      <c r="B10" s="100" t="s">
        <v>127</v>
      </c>
      <c r="C10" s="100" t="s">
        <v>128</v>
      </c>
      <c r="D10" s="100" t="s">
        <v>129</v>
      </c>
    </row>
    <row r="11" spans="1:5" x14ac:dyDescent="0.25">
      <c r="A11" s="55" t="s">
        <v>193</v>
      </c>
      <c r="B11" s="57">
        <f>E3</f>
        <v>334.4</v>
      </c>
      <c r="C11" s="57">
        <f>D7</f>
        <v>93.2376</v>
      </c>
      <c r="D11" s="59">
        <f t="shared" ref="D11" si="2">B11-C11</f>
        <v>241.16239999999999</v>
      </c>
    </row>
  </sheetData>
  <mergeCells count="3">
    <mergeCell ref="A1:E1"/>
    <mergeCell ref="A5:D5"/>
    <mergeCell ref="A9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14675-30BD-40F1-91C6-372D85E0293C}">
  <dimension ref="A1:F36"/>
  <sheetViews>
    <sheetView view="pageBreakPreview" topLeftCell="A13" zoomScale="110" zoomScaleNormal="100" zoomScaleSheetLayoutView="110" workbookViewId="0">
      <selection activeCell="A35" sqref="A35:E35"/>
    </sheetView>
  </sheetViews>
  <sheetFormatPr defaultRowHeight="12.75" x14ac:dyDescent="0.25"/>
  <cols>
    <col min="1" max="1" width="6.7109375" style="47" customWidth="1"/>
    <col min="2" max="2" width="34" style="47" customWidth="1"/>
    <col min="3" max="3" width="9.28515625" style="47" customWidth="1"/>
    <col min="4" max="4" width="11" style="47" customWidth="1"/>
    <col min="5" max="5" width="12.85546875" style="47" customWidth="1"/>
    <col min="6" max="6" width="14.42578125" style="47" customWidth="1"/>
    <col min="7" max="7" width="9.42578125" style="47" bestFit="1" customWidth="1"/>
    <col min="8" max="252" width="9.140625" style="47"/>
    <col min="253" max="253" width="30.28515625" style="47" customWidth="1"/>
    <col min="254" max="254" width="12.85546875" style="47" customWidth="1"/>
    <col min="255" max="256" width="14.42578125" style="47" customWidth="1"/>
    <col min="257" max="257" width="16.42578125" style="47" customWidth="1"/>
    <col min="258" max="258" width="17" style="47" customWidth="1"/>
    <col min="259" max="260" width="9.140625" style="47"/>
    <col min="261" max="261" width="11.28515625" style="47" bestFit="1" customWidth="1"/>
    <col min="262" max="262" width="9.140625" style="47"/>
    <col min="263" max="263" width="9.42578125" style="47" bestFit="1" customWidth="1"/>
    <col min="264" max="508" width="9.140625" style="47"/>
    <col min="509" max="509" width="30.28515625" style="47" customWidth="1"/>
    <col min="510" max="510" width="12.85546875" style="47" customWidth="1"/>
    <col min="511" max="512" width="14.42578125" style="47" customWidth="1"/>
    <col min="513" max="513" width="16.42578125" style="47" customWidth="1"/>
    <col min="514" max="514" width="17" style="47" customWidth="1"/>
    <col min="515" max="516" width="9.140625" style="47"/>
    <col min="517" max="517" width="11.28515625" style="47" bestFit="1" customWidth="1"/>
    <col min="518" max="518" width="9.140625" style="47"/>
    <col min="519" max="519" width="9.42578125" style="47" bestFit="1" customWidth="1"/>
    <col min="520" max="764" width="9.140625" style="47"/>
    <col min="765" max="765" width="30.28515625" style="47" customWidth="1"/>
    <col min="766" max="766" width="12.85546875" style="47" customWidth="1"/>
    <col min="767" max="768" width="14.42578125" style="47" customWidth="1"/>
    <col min="769" max="769" width="16.42578125" style="47" customWidth="1"/>
    <col min="770" max="770" width="17" style="47" customWidth="1"/>
    <col min="771" max="772" width="9.140625" style="47"/>
    <col min="773" max="773" width="11.28515625" style="47" bestFit="1" customWidth="1"/>
    <col min="774" max="774" width="9.140625" style="47"/>
    <col min="775" max="775" width="9.42578125" style="47" bestFit="1" customWidth="1"/>
    <col min="776" max="1020" width="9.140625" style="47"/>
    <col min="1021" max="1021" width="30.28515625" style="47" customWidth="1"/>
    <col min="1022" max="1022" width="12.85546875" style="47" customWidth="1"/>
    <col min="1023" max="1024" width="14.42578125" style="47" customWidth="1"/>
    <col min="1025" max="1025" width="16.42578125" style="47" customWidth="1"/>
    <col min="1026" max="1026" width="17" style="47" customWidth="1"/>
    <col min="1027" max="1028" width="9.140625" style="47"/>
    <col min="1029" max="1029" width="11.28515625" style="47" bestFit="1" customWidth="1"/>
    <col min="1030" max="1030" width="9.140625" style="47"/>
    <col min="1031" max="1031" width="9.42578125" style="47" bestFit="1" customWidth="1"/>
    <col min="1032" max="1276" width="9.140625" style="47"/>
    <col min="1277" max="1277" width="30.28515625" style="47" customWidth="1"/>
    <col min="1278" max="1278" width="12.85546875" style="47" customWidth="1"/>
    <col min="1279" max="1280" width="14.42578125" style="47" customWidth="1"/>
    <col min="1281" max="1281" width="16.42578125" style="47" customWidth="1"/>
    <col min="1282" max="1282" width="17" style="47" customWidth="1"/>
    <col min="1283" max="1284" width="9.140625" style="47"/>
    <col min="1285" max="1285" width="11.28515625" style="47" bestFit="1" customWidth="1"/>
    <col min="1286" max="1286" width="9.140625" style="47"/>
    <col min="1287" max="1287" width="9.42578125" style="47" bestFit="1" customWidth="1"/>
    <col min="1288" max="1532" width="9.140625" style="47"/>
    <col min="1533" max="1533" width="30.28515625" style="47" customWidth="1"/>
    <col min="1534" max="1534" width="12.85546875" style="47" customWidth="1"/>
    <col min="1535" max="1536" width="14.42578125" style="47" customWidth="1"/>
    <col min="1537" max="1537" width="16.42578125" style="47" customWidth="1"/>
    <col min="1538" max="1538" width="17" style="47" customWidth="1"/>
    <col min="1539" max="1540" width="9.140625" style="47"/>
    <col min="1541" max="1541" width="11.28515625" style="47" bestFit="1" customWidth="1"/>
    <col min="1542" max="1542" width="9.140625" style="47"/>
    <col min="1543" max="1543" width="9.42578125" style="47" bestFit="1" customWidth="1"/>
    <col min="1544" max="1788" width="9.140625" style="47"/>
    <col min="1789" max="1789" width="30.28515625" style="47" customWidth="1"/>
    <col min="1790" max="1790" width="12.85546875" style="47" customWidth="1"/>
    <col min="1791" max="1792" width="14.42578125" style="47" customWidth="1"/>
    <col min="1793" max="1793" width="16.42578125" style="47" customWidth="1"/>
    <col min="1794" max="1794" width="17" style="47" customWidth="1"/>
    <col min="1795" max="1796" width="9.140625" style="47"/>
    <col min="1797" max="1797" width="11.28515625" style="47" bestFit="1" customWidth="1"/>
    <col min="1798" max="1798" width="9.140625" style="47"/>
    <col min="1799" max="1799" width="9.42578125" style="47" bestFit="1" customWidth="1"/>
    <col min="1800" max="2044" width="9.140625" style="47"/>
    <col min="2045" max="2045" width="30.28515625" style="47" customWidth="1"/>
    <col min="2046" max="2046" width="12.85546875" style="47" customWidth="1"/>
    <col min="2047" max="2048" width="14.42578125" style="47" customWidth="1"/>
    <col min="2049" max="2049" width="16.42578125" style="47" customWidth="1"/>
    <col min="2050" max="2050" width="17" style="47" customWidth="1"/>
    <col min="2051" max="2052" width="9.140625" style="47"/>
    <col min="2053" max="2053" width="11.28515625" style="47" bestFit="1" customWidth="1"/>
    <col min="2054" max="2054" width="9.140625" style="47"/>
    <col min="2055" max="2055" width="9.42578125" style="47" bestFit="1" customWidth="1"/>
    <col min="2056" max="2300" width="9.140625" style="47"/>
    <col min="2301" max="2301" width="30.28515625" style="47" customWidth="1"/>
    <col min="2302" max="2302" width="12.85546875" style="47" customWidth="1"/>
    <col min="2303" max="2304" width="14.42578125" style="47" customWidth="1"/>
    <col min="2305" max="2305" width="16.42578125" style="47" customWidth="1"/>
    <col min="2306" max="2306" width="17" style="47" customWidth="1"/>
    <col min="2307" max="2308" width="9.140625" style="47"/>
    <col min="2309" max="2309" width="11.28515625" style="47" bestFit="1" customWidth="1"/>
    <col min="2310" max="2310" width="9.140625" style="47"/>
    <col min="2311" max="2311" width="9.42578125" style="47" bestFit="1" customWidth="1"/>
    <col min="2312" max="2556" width="9.140625" style="47"/>
    <col min="2557" max="2557" width="30.28515625" style="47" customWidth="1"/>
    <col min="2558" max="2558" width="12.85546875" style="47" customWidth="1"/>
    <col min="2559" max="2560" width="14.42578125" style="47" customWidth="1"/>
    <col min="2561" max="2561" width="16.42578125" style="47" customWidth="1"/>
    <col min="2562" max="2562" width="17" style="47" customWidth="1"/>
    <col min="2563" max="2564" width="9.140625" style="47"/>
    <col min="2565" max="2565" width="11.28515625" style="47" bestFit="1" customWidth="1"/>
    <col min="2566" max="2566" width="9.140625" style="47"/>
    <col min="2567" max="2567" width="9.42578125" style="47" bestFit="1" customWidth="1"/>
    <col min="2568" max="2812" width="9.140625" style="47"/>
    <col min="2813" max="2813" width="30.28515625" style="47" customWidth="1"/>
    <col min="2814" max="2814" width="12.85546875" style="47" customWidth="1"/>
    <col min="2815" max="2816" width="14.42578125" style="47" customWidth="1"/>
    <col min="2817" max="2817" width="16.42578125" style="47" customWidth="1"/>
    <col min="2818" max="2818" width="17" style="47" customWidth="1"/>
    <col min="2819" max="2820" width="9.140625" style="47"/>
    <col min="2821" max="2821" width="11.28515625" style="47" bestFit="1" customWidth="1"/>
    <col min="2822" max="2822" width="9.140625" style="47"/>
    <col min="2823" max="2823" width="9.42578125" style="47" bestFit="1" customWidth="1"/>
    <col min="2824" max="3068" width="9.140625" style="47"/>
    <col min="3069" max="3069" width="30.28515625" style="47" customWidth="1"/>
    <col min="3070" max="3070" width="12.85546875" style="47" customWidth="1"/>
    <col min="3071" max="3072" width="14.42578125" style="47" customWidth="1"/>
    <col min="3073" max="3073" width="16.42578125" style="47" customWidth="1"/>
    <col min="3074" max="3074" width="17" style="47" customWidth="1"/>
    <col min="3075" max="3076" width="9.140625" style="47"/>
    <col min="3077" max="3077" width="11.28515625" style="47" bestFit="1" customWidth="1"/>
    <col min="3078" max="3078" width="9.140625" style="47"/>
    <col min="3079" max="3079" width="9.42578125" style="47" bestFit="1" customWidth="1"/>
    <col min="3080" max="3324" width="9.140625" style="47"/>
    <col min="3325" max="3325" width="30.28515625" style="47" customWidth="1"/>
    <col min="3326" max="3326" width="12.85546875" style="47" customWidth="1"/>
    <col min="3327" max="3328" width="14.42578125" style="47" customWidth="1"/>
    <col min="3329" max="3329" width="16.42578125" style="47" customWidth="1"/>
    <col min="3330" max="3330" width="17" style="47" customWidth="1"/>
    <col min="3331" max="3332" width="9.140625" style="47"/>
    <col min="3333" max="3333" width="11.28515625" style="47" bestFit="1" customWidth="1"/>
    <col min="3334" max="3334" width="9.140625" style="47"/>
    <col min="3335" max="3335" width="9.42578125" style="47" bestFit="1" customWidth="1"/>
    <col min="3336" max="3580" width="9.140625" style="47"/>
    <col min="3581" max="3581" width="30.28515625" style="47" customWidth="1"/>
    <col min="3582" max="3582" width="12.85546875" style="47" customWidth="1"/>
    <col min="3583" max="3584" width="14.42578125" style="47" customWidth="1"/>
    <col min="3585" max="3585" width="16.42578125" style="47" customWidth="1"/>
    <col min="3586" max="3586" width="17" style="47" customWidth="1"/>
    <col min="3587" max="3588" width="9.140625" style="47"/>
    <col min="3589" max="3589" width="11.28515625" style="47" bestFit="1" customWidth="1"/>
    <col min="3590" max="3590" width="9.140625" style="47"/>
    <col min="3591" max="3591" width="9.42578125" style="47" bestFit="1" customWidth="1"/>
    <col min="3592" max="3836" width="9.140625" style="47"/>
    <col min="3837" max="3837" width="30.28515625" style="47" customWidth="1"/>
    <col min="3838" max="3838" width="12.85546875" style="47" customWidth="1"/>
    <col min="3839" max="3840" width="14.42578125" style="47" customWidth="1"/>
    <col min="3841" max="3841" width="16.42578125" style="47" customWidth="1"/>
    <col min="3842" max="3842" width="17" style="47" customWidth="1"/>
    <col min="3843" max="3844" width="9.140625" style="47"/>
    <col min="3845" max="3845" width="11.28515625" style="47" bestFit="1" customWidth="1"/>
    <col min="3846" max="3846" width="9.140625" style="47"/>
    <col min="3847" max="3847" width="9.42578125" style="47" bestFit="1" customWidth="1"/>
    <col min="3848" max="4092" width="9.140625" style="47"/>
    <col min="4093" max="4093" width="30.28515625" style="47" customWidth="1"/>
    <col min="4094" max="4094" width="12.85546875" style="47" customWidth="1"/>
    <col min="4095" max="4096" width="14.42578125" style="47" customWidth="1"/>
    <col min="4097" max="4097" width="16.42578125" style="47" customWidth="1"/>
    <col min="4098" max="4098" width="17" style="47" customWidth="1"/>
    <col min="4099" max="4100" width="9.140625" style="47"/>
    <col min="4101" max="4101" width="11.28515625" style="47" bestFit="1" customWidth="1"/>
    <col min="4102" max="4102" width="9.140625" style="47"/>
    <col min="4103" max="4103" width="9.42578125" style="47" bestFit="1" customWidth="1"/>
    <col min="4104" max="4348" width="9.140625" style="47"/>
    <col min="4349" max="4349" width="30.28515625" style="47" customWidth="1"/>
    <col min="4350" max="4350" width="12.85546875" style="47" customWidth="1"/>
    <col min="4351" max="4352" width="14.42578125" style="47" customWidth="1"/>
    <col min="4353" max="4353" width="16.42578125" style="47" customWidth="1"/>
    <col min="4354" max="4354" width="17" style="47" customWidth="1"/>
    <col min="4355" max="4356" width="9.140625" style="47"/>
    <col min="4357" max="4357" width="11.28515625" style="47" bestFit="1" customWidth="1"/>
    <col min="4358" max="4358" width="9.140625" style="47"/>
    <col min="4359" max="4359" width="9.42578125" style="47" bestFit="1" customWidth="1"/>
    <col min="4360" max="4604" width="9.140625" style="47"/>
    <col min="4605" max="4605" width="30.28515625" style="47" customWidth="1"/>
    <col min="4606" max="4606" width="12.85546875" style="47" customWidth="1"/>
    <col min="4607" max="4608" width="14.42578125" style="47" customWidth="1"/>
    <col min="4609" max="4609" width="16.42578125" style="47" customWidth="1"/>
    <col min="4610" max="4610" width="17" style="47" customWidth="1"/>
    <col min="4611" max="4612" width="9.140625" style="47"/>
    <col min="4613" max="4613" width="11.28515625" style="47" bestFit="1" customWidth="1"/>
    <col min="4614" max="4614" width="9.140625" style="47"/>
    <col min="4615" max="4615" width="9.42578125" style="47" bestFit="1" customWidth="1"/>
    <col min="4616" max="4860" width="9.140625" style="47"/>
    <col min="4861" max="4861" width="30.28515625" style="47" customWidth="1"/>
    <col min="4862" max="4862" width="12.85546875" style="47" customWidth="1"/>
    <col min="4863" max="4864" width="14.42578125" style="47" customWidth="1"/>
    <col min="4865" max="4865" width="16.42578125" style="47" customWidth="1"/>
    <col min="4866" max="4866" width="17" style="47" customWidth="1"/>
    <col min="4867" max="4868" width="9.140625" style="47"/>
    <col min="4869" max="4869" width="11.28515625" style="47" bestFit="1" customWidth="1"/>
    <col min="4870" max="4870" width="9.140625" style="47"/>
    <col min="4871" max="4871" width="9.42578125" style="47" bestFit="1" customWidth="1"/>
    <col min="4872" max="5116" width="9.140625" style="47"/>
    <col min="5117" max="5117" width="30.28515625" style="47" customWidth="1"/>
    <col min="5118" max="5118" width="12.85546875" style="47" customWidth="1"/>
    <col min="5119" max="5120" width="14.42578125" style="47" customWidth="1"/>
    <col min="5121" max="5121" width="16.42578125" style="47" customWidth="1"/>
    <col min="5122" max="5122" width="17" style="47" customWidth="1"/>
    <col min="5123" max="5124" width="9.140625" style="47"/>
    <col min="5125" max="5125" width="11.28515625" style="47" bestFit="1" customWidth="1"/>
    <col min="5126" max="5126" width="9.140625" style="47"/>
    <col min="5127" max="5127" width="9.42578125" style="47" bestFit="1" customWidth="1"/>
    <col min="5128" max="5372" width="9.140625" style="47"/>
    <col min="5373" max="5373" width="30.28515625" style="47" customWidth="1"/>
    <col min="5374" max="5374" width="12.85546875" style="47" customWidth="1"/>
    <col min="5375" max="5376" width="14.42578125" style="47" customWidth="1"/>
    <col min="5377" max="5377" width="16.42578125" style="47" customWidth="1"/>
    <col min="5378" max="5378" width="17" style="47" customWidth="1"/>
    <col min="5379" max="5380" width="9.140625" style="47"/>
    <col min="5381" max="5381" width="11.28515625" style="47" bestFit="1" customWidth="1"/>
    <col min="5382" max="5382" width="9.140625" style="47"/>
    <col min="5383" max="5383" width="9.42578125" style="47" bestFit="1" customWidth="1"/>
    <col min="5384" max="5628" width="9.140625" style="47"/>
    <col min="5629" max="5629" width="30.28515625" style="47" customWidth="1"/>
    <col min="5630" max="5630" width="12.85546875" style="47" customWidth="1"/>
    <col min="5631" max="5632" width="14.42578125" style="47" customWidth="1"/>
    <col min="5633" max="5633" width="16.42578125" style="47" customWidth="1"/>
    <col min="5634" max="5634" width="17" style="47" customWidth="1"/>
    <col min="5635" max="5636" width="9.140625" style="47"/>
    <col min="5637" max="5637" width="11.28515625" style="47" bestFit="1" customWidth="1"/>
    <col min="5638" max="5638" width="9.140625" style="47"/>
    <col min="5639" max="5639" width="9.42578125" style="47" bestFit="1" customWidth="1"/>
    <col min="5640" max="5884" width="9.140625" style="47"/>
    <col min="5885" max="5885" width="30.28515625" style="47" customWidth="1"/>
    <col min="5886" max="5886" width="12.85546875" style="47" customWidth="1"/>
    <col min="5887" max="5888" width="14.42578125" style="47" customWidth="1"/>
    <col min="5889" max="5889" width="16.42578125" style="47" customWidth="1"/>
    <col min="5890" max="5890" width="17" style="47" customWidth="1"/>
    <col min="5891" max="5892" width="9.140625" style="47"/>
    <col min="5893" max="5893" width="11.28515625" style="47" bestFit="1" customWidth="1"/>
    <col min="5894" max="5894" width="9.140625" style="47"/>
    <col min="5895" max="5895" width="9.42578125" style="47" bestFit="1" customWidth="1"/>
    <col min="5896" max="6140" width="9.140625" style="47"/>
    <col min="6141" max="6141" width="30.28515625" style="47" customWidth="1"/>
    <col min="6142" max="6142" width="12.85546875" style="47" customWidth="1"/>
    <col min="6143" max="6144" width="14.42578125" style="47" customWidth="1"/>
    <col min="6145" max="6145" width="16.42578125" style="47" customWidth="1"/>
    <col min="6146" max="6146" width="17" style="47" customWidth="1"/>
    <col min="6147" max="6148" width="9.140625" style="47"/>
    <col min="6149" max="6149" width="11.28515625" style="47" bestFit="1" customWidth="1"/>
    <col min="6150" max="6150" width="9.140625" style="47"/>
    <col min="6151" max="6151" width="9.42578125" style="47" bestFit="1" customWidth="1"/>
    <col min="6152" max="6396" width="9.140625" style="47"/>
    <col min="6397" max="6397" width="30.28515625" style="47" customWidth="1"/>
    <col min="6398" max="6398" width="12.85546875" style="47" customWidth="1"/>
    <col min="6399" max="6400" width="14.42578125" style="47" customWidth="1"/>
    <col min="6401" max="6401" width="16.42578125" style="47" customWidth="1"/>
    <col min="6402" max="6402" width="17" style="47" customWidth="1"/>
    <col min="6403" max="6404" width="9.140625" style="47"/>
    <col min="6405" max="6405" width="11.28515625" style="47" bestFit="1" customWidth="1"/>
    <col min="6406" max="6406" width="9.140625" style="47"/>
    <col min="6407" max="6407" width="9.42578125" style="47" bestFit="1" customWidth="1"/>
    <col min="6408" max="6652" width="9.140625" style="47"/>
    <col min="6653" max="6653" width="30.28515625" style="47" customWidth="1"/>
    <col min="6654" max="6654" width="12.85546875" style="47" customWidth="1"/>
    <col min="6655" max="6656" width="14.42578125" style="47" customWidth="1"/>
    <col min="6657" max="6657" width="16.42578125" style="47" customWidth="1"/>
    <col min="6658" max="6658" width="17" style="47" customWidth="1"/>
    <col min="6659" max="6660" width="9.140625" style="47"/>
    <col min="6661" max="6661" width="11.28515625" style="47" bestFit="1" customWidth="1"/>
    <col min="6662" max="6662" width="9.140625" style="47"/>
    <col min="6663" max="6663" width="9.42578125" style="47" bestFit="1" customWidth="1"/>
    <col min="6664" max="6908" width="9.140625" style="47"/>
    <col min="6909" max="6909" width="30.28515625" style="47" customWidth="1"/>
    <col min="6910" max="6910" width="12.85546875" style="47" customWidth="1"/>
    <col min="6911" max="6912" width="14.42578125" style="47" customWidth="1"/>
    <col min="6913" max="6913" width="16.42578125" style="47" customWidth="1"/>
    <col min="6914" max="6914" width="17" style="47" customWidth="1"/>
    <col min="6915" max="6916" width="9.140625" style="47"/>
    <col min="6917" max="6917" width="11.28515625" style="47" bestFit="1" customWidth="1"/>
    <col min="6918" max="6918" width="9.140625" style="47"/>
    <col min="6919" max="6919" width="9.42578125" style="47" bestFit="1" customWidth="1"/>
    <col min="6920" max="7164" width="9.140625" style="47"/>
    <col min="7165" max="7165" width="30.28515625" style="47" customWidth="1"/>
    <col min="7166" max="7166" width="12.85546875" style="47" customWidth="1"/>
    <col min="7167" max="7168" width="14.42578125" style="47" customWidth="1"/>
    <col min="7169" max="7169" width="16.42578125" style="47" customWidth="1"/>
    <col min="7170" max="7170" width="17" style="47" customWidth="1"/>
    <col min="7171" max="7172" width="9.140625" style="47"/>
    <col min="7173" max="7173" width="11.28515625" style="47" bestFit="1" customWidth="1"/>
    <col min="7174" max="7174" width="9.140625" style="47"/>
    <col min="7175" max="7175" width="9.42578125" style="47" bestFit="1" customWidth="1"/>
    <col min="7176" max="7420" width="9.140625" style="47"/>
    <col min="7421" max="7421" width="30.28515625" style="47" customWidth="1"/>
    <col min="7422" max="7422" width="12.85546875" style="47" customWidth="1"/>
    <col min="7423" max="7424" width="14.42578125" style="47" customWidth="1"/>
    <col min="7425" max="7425" width="16.42578125" style="47" customWidth="1"/>
    <col min="7426" max="7426" width="17" style="47" customWidth="1"/>
    <col min="7427" max="7428" width="9.140625" style="47"/>
    <col min="7429" max="7429" width="11.28515625" style="47" bestFit="1" customWidth="1"/>
    <col min="7430" max="7430" width="9.140625" style="47"/>
    <col min="7431" max="7431" width="9.42578125" style="47" bestFit="1" customWidth="1"/>
    <col min="7432" max="7676" width="9.140625" style="47"/>
    <col min="7677" max="7677" width="30.28515625" style="47" customWidth="1"/>
    <col min="7678" max="7678" width="12.85546875" style="47" customWidth="1"/>
    <col min="7679" max="7680" width="14.42578125" style="47" customWidth="1"/>
    <col min="7681" max="7681" width="16.42578125" style="47" customWidth="1"/>
    <col min="7682" max="7682" width="17" style="47" customWidth="1"/>
    <col min="7683" max="7684" width="9.140625" style="47"/>
    <col min="7685" max="7685" width="11.28515625" style="47" bestFit="1" customWidth="1"/>
    <col min="7686" max="7686" width="9.140625" style="47"/>
    <col min="7687" max="7687" width="9.42578125" style="47" bestFit="1" customWidth="1"/>
    <col min="7688" max="7932" width="9.140625" style="47"/>
    <col min="7933" max="7933" width="30.28515625" style="47" customWidth="1"/>
    <col min="7934" max="7934" width="12.85546875" style="47" customWidth="1"/>
    <col min="7935" max="7936" width="14.42578125" style="47" customWidth="1"/>
    <col min="7937" max="7937" width="16.42578125" style="47" customWidth="1"/>
    <col min="7938" max="7938" width="17" style="47" customWidth="1"/>
    <col min="7939" max="7940" width="9.140625" style="47"/>
    <col min="7941" max="7941" width="11.28515625" style="47" bestFit="1" customWidth="1"/>
    <col min="7942" max="7942" width="9.140625" style="47"/>
    <col min="7943" max="7943" width="9.42578125" style="47" bestFit="1" customWidth="1"/>
    <col min="7944" max="8188" width="9.140625" style="47"/>
    <col min="8189" max="8189" width="30.28515625" style="47" customWidth="1"/>
    <col min="8190" max="8190" width="12.85546875" style="47" customWidth="1"/>
    <col min="8191" max="8192" width="14.42578125" style="47" customWidth="1"/>
    <col min="8193" max="8193" width="16.42578125" style="47" customWidth="1"/>
    <col min="8194" max="8194" width="17" style="47" customWidth="1"/>
    <col min="8195" max="8196" width="9.140625" style="47"/>
    <col min="8197" max="8197" width="11.28515625" style="47" bestFit="1" customWidth="1"/>
    <col min="8198" max="8198" width="9.140625" style="47"/>
    <col min="8199" max="8199" width="9.42578125" style="47" bestFit="1" customWidth="1"/>
    <col min="8200" max="8444" width="9.140625" style="47"/>
    <col min="8445" max="8445" width="30.28515625" style="47" customWidth="1"/>
    <col min="8446" max="8446" width="12.85546875" style="47" customWidth="1"/>
    <col min="8447" max="8448" width="14.42578125" style="47" customWidth="1"/>
    <col min="8449" max="8449" width="16.42578125" style="47" customWidth="1"/>
    <col min="8450" max="8450" width="17" style="47" customWidth="1"/>
    <col min="8451" max="8452" width="9.140625" style="47"/>
    <col min="8453" max="8453" width="11.28515625" style="47" bestFit="1" customWidth="1"/>
    <col min="8454" max="8454" width="9.140625" style="47"/>
    <col min="8455" max="8455" width="9.42578125" style="47" bestFit="1" customWidth="1"/>
    <col min="8456" max="8700" width="9.140625" style="47"/>
    <col min="8701" max="8701" width="30.28515625" style="47" customWidth="1"/>
    <col min="8702" max="8702" width="12.85546875" style="47" customWidth="1"/>
    <col min="8703" max="8704" width="14.42578125" style="47" customWidth="1"/>
    <col min="8705" max="8705" width="16.42578125" style="47" customWidth="1"/>
    <col min="8706" max="8706" width="17" style="47" customWidth="1"/>
    <col min="8707" max="8708" width="9.140625" style="47"/>
    <col min="8709" max="8709" width="11.28515625" style="47" bestFit="1" customWidth="1"/>
    <col min="8710" max="8710" width="9.140625" style="47"/>
    <col min="8711" max="8711" width="9.42578125" style="47" bestFit="1" customWidth="1"/>
    <col min="8712" max="8956" width="9.140625" style="47"/>
    <col min="8957" max="8957" width="30.28515625" style="47" customWidth="1"/>
    <col min="8958" max="8958" width="12.85546875" style="47" customWidth="1"/>
    <col min="8959" max="8960" width="14.42578125" style="47" customWidth="1"/>
    <col min="8961" max="8961" width="16.42578125" style="47" customWidth="1"/>
    <col min="8962" max="8962" width="17" style="47" customWidth="1"/>
    <col min="8963" max="8964" width="9.140625" style="47"/>
    <col min="8965" max="8965" width="11.28515625" style="47" bestFit="1" customWidth="1"/>
    <col min="8966" max="8966" width="9.140625" style="47"/>
    <col min="8967" max="8967" width="9.42578125" style="47" bestFit="1" customWidth="1"/>
    <col min="8968" max="9212" width="9.140625" style="47"/>
    <col min="9213" max="9213" width="30.28515625" style="47" customWidth="1"/>
    <col min="9214" max="9214" width="12.85546875" style="47" customWidth="1"/>
    <col min="9215" max="9216" width="14.42578125" style="47" customWidth="1"/>
    <col min="9217" max="9217" width="16.42578125" style="47" customWidth="1"/>
    <col min="9218" max="9218" width="17" style="47" customWidth="1"/>
    <col min="9219" max="9220" width="9.140625" style="47"/>
    <col min="9221" max="9221" width="11.28515625" style="47" bestFit="1" customWidth="1"/>
    <col min="9222" max="9222" width="9.140625" style="47"/>
    <col min="9223" max="9223" width="9.42578125" style="47" bestFit="1" customWidth="1"/>
    <col min="9224" max="9468" width="9.140625" style="47"/>
    <col min="9469" max="9469" width="30.28515625" style="47" customWidth="1"/>
    <col min="9470" max="9470" width="12.85546875" style="47" customWidth="1"/>
    <col min="9471" max="9472" width="14.42578125" style="47" customWidth="1"/>
    <col min="9473" max="9473" width="16.42578125" style="47" customWidth="1"/>
    <col min="9474" max="9474" width="17" style="47" customWidth="1"/>
    <col min="9475" max="9476" width="9.140625" style="47"/>
    <col min="9477" max="9477" width="11.28515625" style="47" bestFit="1" customWidth="1"/>
    <col min="9478" max="9478" width="9.140625" style="47"/>
    <col min="9479" max="9479" width="9.42578125" style="47" bestFit="1" customWidth="1"/>
    <col min="9480" max="9724" width="9.140625" style="47"/>
    <col min="9725" max="9725" width="30.28515625" style="47" customWidth="1"/>
    <col min="9726" max="9726" width="12.85546875" style="47" customWidth="1"/>
    <col min="9727" max="9728" width="14.42578125" style="47" customWidth="1"/>
    <col min="9729" max="9729" width="16.42578125" style="47" customWidth="1"/>
    <col min="9730" max="9730" width="17" style="47" customWidth="1"/>
    <col min="9731" max="9732" width="9.140625" style="47"/>
    <col min="9733" max="9733" width="11.28515625" style="47" bestFit="1" customWidth="1"/>
    <col min="9734" max="9734" width="9.140625" style="47"/>
    <col min="9735" max="9735" width="9.42578125" style="47" bestFit="1" customWidth="1"/>
    <col min="9736" max="9980" width="9.140625" style="47"/>
    <col min="9981" max="9981" width="30.28515625" style="47" customWidth="1"/>
    <col min="9982" max="9982" width="12.85546875" style="47" customWidth="1"/>
    <col min="9983" max="9984" width="14.42578125" style="47" customWidth="1"/>
    <col min="9985" max="9985" width="16.42578125" style="47" customWidth="1"/>
    <col min="9986" max="9986" width="17" style="47" customWidth="1"/>
    <col min="9987" max="9988" width="9.140625" style="47"/>
    <col min="9989" max="9989" width="11.28515625" style="47" bestFit="1" customWidth="1"/>
    <col min="9990" max="9990" width="9.140625" style="47"/>
    <col min="9991" max="9991" width="9.42578125" style="47" bestFit="1" customWidth="1"/>
    <col min="9992" max="10236" width="9.140625" style="47"/>
    <col min="10237" max="10237" width="30.28515625" style="47" customWidth="1"/>
    <col min="10238" max="10238" width="12.85546875" style="47" customWidth="1"/>
    <col min="10239" max="10240" width="14.42578125" style="47" customWidth="1"/>
    <col min="10241" max="10241" width="16.42578125" style="47" customWidth="1"/>
    <col min="10242" max="10242" width="17" style="47" customWidth="1"/>
    <col min="10243" max="10244" width="9.140625" style="47"/>
    <col min="10245" max="10245" width="11.28515625" style="47" bestFit="1" customWidth="1"/>
    <col min="10246" max="10246" width="9.140625" style="47"/>
    <col min="10247" max="10247" width="9.42578125" style="47" bestFit="1" customWidth="1"/>
    <col min="10248" max="10492" width="9.140625" style="47"/>
    <col min="10493" max="10493" width="30.28515625" style="47" customWidth="1"/>
    <col min="10494" max="10494" width="12.85546875" style="47" customWidth="1"/>
    <col min="10495" max="10496" width="14.42578125" style="47" customWidth="1"/>
    <col min="10497" max="10497" width="16.42578125" style="47" customWidth="1"/>
    <col min="10498" max="10498" width="17" style="47" customWidth="1"/>
    <col min="10499" max="10500" width="9.140625" style="47"/>
    <col min="10501" max="10501" width="11.28515625" style="47" bestFit="1" customWidth="1"/>
    <col min="10502" max="10502" width="9.140625" style="47"/>
    <col min="10503" max="10503" width="9.42578125" style="47" bestFit="1" customWidth="1"/>
    <col min="10504" max="10748" width="9.140625" style="47"/>
    <col min="10749" max="10749" width="30.28515625" style="47" customWidth="1"/>
    <col min="10750" max="10750" width="12.85546875" style="47" customWidth="1"/>
    <col min="10751" max="10752" width="14.42578125" style="47" customWidth="1"/>
    <col min="10753" max="10753" width="16.42578125" style="47" customWidth="1"/>
    <col min="10754" max="10754" width="17" style="47" customWidth="1"/>
    <col min="10755" max="10756" width="9.140625" style="47"/>
    <col min="10757" max="10757" width="11.28515625" style="47" bestFit="1" customWidth="1"/>
    <col min="10758" max="10758" width="9.140625" style="47"/>
    <col min="10759" max="10759" width="9.42578125" style="47" bestFit="1" customWidth="1"/>
    <col min="10760" max="11004" width="9.140625" style="47"/>
    <col min="11005" max="11005" width="30.28515625" style="47" customWidth="1"/>
    <col min="11006" max="11006" width="12.85546875" style="47" customWidth="1"/>
    <col min="11007" max="11008" width="14.42578125" style="47" customWidth="1"/>
    <col min="11009" max="11009" width="16.42578125" style="47" customWidth="1"/>
    <col min="11010" max="11010" width="17" style="47" customWidth="1"/>
    <col min="11011" max="11012" width="9.140625" style="47"/>
    <col min="11013" max="11013" width="11.28515625" style="47" bestFit="1" customWidth="1"/>
    <col min="11014" max="11014" width="9.140625" style="47"/>
    <col min="11015" max="11015" width="9.42578125" style="47" bestFit="1" customWidth="1"/>
    <col min="11016" max="11260" width="9.140625" style="47"/>
    <col min="11261" max="11261" width="30.28515625" style="47" customWidth="1"/>
    <col min="11262" max="11262" width="12.85546875" style="47" customWidth="1"/>
    <col min="11263" max="11264" width="14.42578125" style="47" customWidth="1"/>
    <col min="11265" max="11265" width="16.42578125" style="47" customWidth="1"/>
    <col min="11266" max="11266" width="17" style="47" customWidth="1"/>
    <col min="11267" max="11268" width="9.140625" style="47"/>
    <col min="11269" max="11269" width="11.28515625" style="47" bestFit="1" customWidth="1"/>
    <col min="11270" max="11270" width="9.140625" style="47"/>
    <col min="11271" max="11271" width="9.42578125" style="47" bestFit="1" customWidth="1"/>
    <col min="11272" max="11516" width="9.140625" style="47"/>
    <col min="11517" max="11517" width="30.28515625" style="47" customWidth="1"/>
    <col min="11518" max="11518" width="12.85546875" style="47" customWidth="1"/>
    <col min="11519" max="11520" width="14.42578125" style="47" customWidth="1"/>
    <col min="11521" max="11521" width="16.42578125" style="47" customWidth="1"/>
    <col min="11522" max="11522" width="17" style="47" customWidth="1"/>
    <col min="11523" max="11524" width="9.140625" style="47"/>
    <col min="11525" max="11525" width="11.28515625" style="47" bestFit="1" customWidth="1"/>
    <col min="11526" max="11526" width="9.140625" style="47"/>
    <col min="11527" max="11527" width="9.42578125" style="47" bestFit="1" customWidth="1"/>
    <col min="11528" max="11772" width="9.140625" style="47"/>
    <col min="11773" max="11773" width="30.28515625" style="47" customWidth="1"/>
    <col min="11774" max="11774" width="12.85546875" style="47" customWidth="1"/>
    <col min="11775" max="11776" width="14.42578125" style="47" customWidth="1"/>
    <col min="11777" max="11777" width="16.42578125" style="47" customWidth="1"/>
    <col min="11778" max="11778" width="17" style="47" customWidth="1"/>
    <col min="11779" max="11780" width="9.140625" style="47"/>
    <col min="11781" max="11781" width="11.28515625" style="47" bestFit="1" customWidth="1"/>
    <col min="11782" max="11782" width="9.140625" style="47"/>
    <col min="11783" max="11783" width="9.42578125" style="47" bestFit="1" customWidth="1"/>
    <col min="11784" max="12028" width="9.140625" style="47"/>
    <col min="12029" max="12029" width="30.28515625" style="47" customWidth="1"/>
    <col min="12030" max="12030" width="12.85546875" style="47" customWidth="1"/>
    <col min="12031" max="12032" width="14.42578125" style="47" customWidth="1"/>
    <col min="12033" max="12033" width="16.42578125" style="47" customWidth="1"/>
    <col min="12034" max="12034" width="17" style="47" customWidth="1"/>
    <col min="12035" max="12036" width="9.140625" style="47"/>
    <col min="12037" max="12037" width="11.28515625" style="47" bestFit="1" customWidth="1"/>
    <col min="12038" max="12038" width="9.140625" style="47"/>
    <col min="12039" max="12039" width="9.42578125" style="47" bestFit="1" customWidth="1"/>
    <col min="12040" max="12284" width="9.140625" style="47"/>
    <col min="12285" max="12285" width="30.28515625" style="47" customWidth="1"/>
    <col min="12286" max="12286" width="12.85546875" style="47" customWidth="1"/>
    <col min="12287" max="12288" width="14.42578125" style="47" customWidth="1"/>
    <col min="12289" max="12289" width="16.42578125" style="47" customWidth="1"/>
    <col min="12290" max="12290" width="17" style="47" customWidth="1"/>
    <col min="12291" max="12292" width="9.140625" style="47"/>
    <col min="12293" max="12293" width="11.28515625" style="47" bestFit="1" customWidth="1"/>
    <col min="12294" max="12294" width="9.140625" style="47"/>
    <col min="12295" max="12295" width="9.42578125" style="47" bestFit="1" customWidth="1"/>
    <col min="12296" max="12540" width="9.140625" style="47"/>
    <col min="12541" max="12541" width="30.28515625" style="47" customWidth="1"/>
    <col min="12542" max="12542" width="12.85546875" style="47" customWidth="1"/>
    <col min="12543" max="12544" width="14.42578125" style="47" customWidth="1"/>
    <col min="12545" max="12545" width="16.42578125" style="47" customWidth="1"/>
    <col min="12546" max="12546" width="17" style="47" customWidth="1"/>
    <col min="12547" max="12548" width="9.140625" style="47"/>
    <col min="12549" max="12549" width="11.28515625" style="47" bestFit="1" customWidth="1"/>
    <col min="12550" max="12550" width="9.140625" style="47"/>
    <col min="12551" max="12551" width="9.42578125" style="47" bestFit="1" customWidth="1"/>
    <col min="12552" max="12796" width="9.140625" style="47"/>
    <col min="12797" max="12797" width="30.28515625" style="47" customWidth="1"/>
    <col min="12798" max="12798" width="12.85546875" style="47" customWidth="1"/>
    <col min="12799" max="12800" width="14.42578125" style="47" customWidth="1"/>
    <col min="12801" max="12801" width="16.42578125" style="47" customWidth="1"/>
    <col min="12802" max="12802" width="17" style="47" customWidth="1"/>
    <col min="12803" max="12804" width="9.140625" style="47"/>
    <col min="12805" max="12805" width="11.28515625" style="47" bestFit="1" customWidth="1"/>
    <col min="12806" max="12806" width="9.140625" style="47"/>
    <col min="12807" max="12807" width="9.42578125" style="47" bestFit="1" customWidth="1"/>
    <col min="12808" max="13052" width="9.140625" style="47"/>
    <col min="13053" max="13053" width="30.28515625" style="47" customWidth="1"/>
    <col min="13054" max="13054" width="12.85546875" style="47" customWidth="1"/>
    <col min="13055" max="13056" width="14.42578125" style="47" customWidth="1"/>
    <col min="13057" max="13057" width="16.42578125" style="47" customWidth="1"/>
    <col min="13058" max="13058" width="17" style="47" customWidth="1"/>
    <col min="13059" max="13060" width="9.140625" style="47"/>
    <col min="13061" max="13061" width="11.28515625" style="47" bestFit="1" customWidth="1"/>
    <col min="13062" max="13062" width="9.140625" style="47"/>
    <col min="13063" max="13063" width="9.42578125" style="47" bestFit="1" customWidth="1"/>
    <col min="13064" max="13308" width="9.140625" style="47"/>
    <col min="13309" max="13309" width="30.28515625" style="47" customWidth="1"/>
    <col min="13310" max="13310" width="12.85546875" style="47" customWidth="1"/>
    <col min="13311" max="13312" width="14.42578125" style="47" customWidth="1"/>
    <col min="13313" max="13313" width="16.42578125" style="47" customWidth="1"/>
    <col min="13314" max="13314" width="17" style="47" customWidth="1"/>
    <col min="13315" max="13316" width="9.140625" style="47"/>
    <col min="13317" max="13317" width="11.28515625" style="47" bestFit="1" customWidth="1"/>
    <col min="13318" max="13318" width="9.140625" style="47"/>
    <col min="13319" max="13319" width="9.42578125" style="47" bestFit="1" customWidth="1"/>
    <col min="13320" max="13564" width="9.140625" style="47"/>
    <col min="13565" max="13565" width="30.28515625" style="47" customWidth="1"/>
    <col min="13566" max="13566" width="12.85546875" style="47" customWidth="1"/>
    <col min="13567" max="13568" width="14.42578125" style="47" customWidth="1"/>
    <col min="13569" max="13569" width="16.42578125" style="47" customWidth="1"/>
    <col min="13570" max="13570" width="17" style="47" customWidth="1"/>
    <col min="13571" max="13572" width="9.140625" style="47"/>
    <col min="13573" max="13573" width="11.28515625" style="47" bestFit="1" customWidth="1"/>
    <col min="13574" max="13574" width="9.140625" style="47"/>
    <col min="13575" max="13575" width="9.42578125" style="47" bestFit="1" customWidth="1"/>
    <col min="13576" max="13820" width="9.140625" style="47"/>
    <col min="13821" max="13821" width="30.28515625" style="47" customWidth="1"/>
    <col min="13822" max="13822" width="12.85546875" style="47" customWidth="1"/>
    <col min="13823" max="13824" width="14.42578125" style="47" customWidth="1"/>
    <col min="13825" max="13825" width="16.42578125" style="47" customWidth="1"/>
    <col min="13826" max="13826" width="17" style="47" customWidth="1"/>
    <col min="13827" max="13828" width="9.140625" style="47"/>
    <col min="13829" max="13829" width="11.28515625" style="47" bestFit="1" customWidth="1"/>
    <col min="13830" max="13830" width="9.140625" style="47"/>
    <col min="13831" max="13831" width="9.42578125" style="47" bestFit="1" customWidth="1"/>
    <col min="13832" max="14076" width="9.140625" style="47"/>
    <col min="14077" max="14077" width="30.28515625" style="47" customWidth="1"/>
    <col min="14078" max="14078" width="12.85546875" style="47" customWidth="1"/>
    <col min="14079" max="14080" width="14.42578125" style="47" customWidth="1"/>
    <col min="14081" max="14081" width="16.42578125" style="47" customWidth="1"/>
    <col min="14082" max="14082" width="17" style="47" customWidth="1"/>
    <col min="14083" max="14084" width="9.140625" style="47"/>
    <col min="14085" max="14085" width="11.28515625" style="47" bestFit="1" customWidth="1"/>
    <col min="14086" max="14086" width="9.140625" style="47"/>
    <col min="14087" max="14087" width="9.42578125" style="47" bestFit="1" customWidth="1"/>
    <col min="14088" max="14332" width="9.140625" style="47"/>
    <col min="14333" max="14333" width="30.28515625" style="47" customWidth="1"/>
    <col min="14334" max="14334" width="12.85546875" style="47" customWidth="1"/>
    <col min="14335" max="14336" width="14.42578125" style="47" customWidth="1"/>
    <col min="14337" max="14337" width="16.42578125" style="47" customWidth="1"/>
    <col min="14338" max="14338" width="17" style="47" customWidth="1"/>
    <col min="14339" max="14340" width="9.140625" style="47"/>
    <col min="14341" max="14341" width="11.28515625" style="47" bestFit="1" customWidth="1"/>
    <col min="14342" max="14342" width="9.140625" style="47"/>
    <col min="14343" max="14343" width="9.42578125" style="47" bestFit="1" customWidth="1"/>
    <col min="14344" max="14588" width="9.140625" style="47"/>
    <col min="14589" max="14589" width="30.28515625" style="47" customWidth="1"/>
    <col min="14590" max="14590" width="12.85546875" style="47" customWidth="1"/>
    <col min="14591" max="14592" width="14.42578125" style="47" customWidth="1"/>
    <col min="14593" max="14593" width="16.42578125" style="47" customWidth="1"/>
    <col min="14594" max="14594" width="17" style="47" customWidth="1"/>
    <col min="14595" max="14596" width="9.140625" style="47"/>
    <col min="14597" max="14597" width="11.28515625" style="47" bestFit="1" customWidth="1"/>
    <col min="14598" max="14598" width="9.140625" style="47"/>
    <col min="14599" max="14599" width="9.42578125" style="47" bestFit="1" customWidth="1"/>
    <col min="14600" max="14844" width="9.140625" style="47"/>
    <col min="14845" max="14845" width="30.28515625" style="47" customWidth="1"/>
    <col min="14846" max="14846" width="12.85546875" style="47" customWidth="1"/>
    <col min="14847" max="14848" width="14.42578125" style="47" customWidth="1"/>
    <col min="14849" max="14849" width="16.42578125" style="47" customWidth="1"/>
    <col min="14850" max="14850" width="17" style="47" customWidth="1"/>
    <col min="14851" max="14852" width="9.140625" style="47"/>
    <col min="14853" max="14853" width="11.28515625" style="47" bestFit="1" customWidth="1"/>
    <col min="14854" max="14854" width="9.140625" style="47"/>
    <col min="14855" max="14855" width="9.42578125" style="47" bestFit="1" customWidth="1"/>
    <col min="14856" max="15100" width="9.140625" style="47"/>
    <col min="15101" max="15101" width="30.28515625" style="47" customWidth="1"/>
    <col min="15102" max="15102" width="12.85546875" style="47" customWidth="1"/>
    <col min="15103" max="15104" width="14.42578125" style="47" customWidth="1"/>
    <col min="15105" max="15105" width="16.42578125" style="47" customWidth="1"/>
    <col min="15106" max="15106" width="17" style="47" customWidth="1"/>
    <col min="15107" max="15108" width="9.140625" style="47"/>
    <col min="15109" max="15109" width="11.28515625" style="47" bestFit="1" customWidth="1"/>
    <col min="15110" max="15110" width="9.140625" style="47"/>
    <col min="15111" max="15111" width="9.42578125" style="47" bestFit="1" customWidth="1"/>
    <col min="15112" max="15356" width="9.140625" style="47"/>
    <col min="15357" max="15357" width="30.28515625" style="47" customWidth="1"/>
    <col min="15358" max="15358" width="12.85546875" style="47" customWidth="1"/>
    <col min="15359" max="15360" width="14.42578125" style="47" customWidth="1"/>
    <col min="15361" max="15361" width="16.42578125" style="47" customWidth="1"/>
    <col min="15362" max="15362" width="17" style="47" customWidth="1"/>
    <col min="15363" max="15364" width="9.140625" style="47"/>
    <col min="15365" max="15365" width="11.28515625" style="47" bestFit="1" customWidth="1"/>
    <col min="15366" max="15366" width="9.140625" style="47"/>
    <col min="15367" max="15367" width="9.42578125" style="47" bestFit="1" customWidth="1"/>
    <col min="15368" max="15612" width="9.140625" style="47"/>
    <col min="15613" max="15613" width="30.28515625" style="47" customWidth="1"/>
    <col min="15614" max="15614" width="12.85546875" style="47" customWidth="1"/>
    <col min="15615" max="15616" width="14.42578125" style="47" customWidth="1"/>
    <col min="15617" max="15617" width="16.42578125" style="47" customWidth="1"/>
    <col min="15618" max="15618" width="17" style="47" customWidth="1"/>
    <col min="15619" max="15620" width="9.140625" style="47"/>
    <col min="15621" max="15621" width="11.28515625" style="47" bestFit="1" customWidth="1"/>
    <col min="15622" max="15622" width="9.140625" style="47"/>
    <col min="15623" max="15623" width="9.42578125" style="47" bestFit="1" customWidth="1"/>
    <col min="15624" max="15868" width="9.140625" style="47"/>
    <col min="15869" max="15869" width="30.28515625" style="47" customWidth="1"/>
    <col min="15870" max="15870" width="12.85546875" style="47" customWidth="1"/>
    <col min="15871" max="15872" width="14.42578125" style="47" customWidth="1"/>
    <col min="15873" max="15873" width="16.42578125" style="47" customWidth="1"/>
    <col min="15874" max="15874" width="17" style="47" customWidth="1"/>
    <col min="15875" max="15876" width="9.140625" style="47"/>
    <col min="15877" max="15877" width="11.28515625" style="47" bestFit="1" customWidth="1"/>
    <col min="15878" max="15878" width="9.140625" style="47"/>
    <col min="15879" max="15879" width="9.42578125" style="47" bestFit="1" customWidth="1"/>
    <col min="15880" max="16124" width="9.140625" style="47"/>
    <col min="16125" max="16125" width="30.28515625" style="47" customWidth="1"/>
    <col min="16126" max="16126" width="12.85546875" style="47" customWidth="1"/>
    <col min="16127" max="16128" width="14.42578125" style="47" customWidth="1"/>
    <col min="16129" max="16129" width="16.42578125" style="47" customWidth="1"/>
    <col min="16130" max="16130" width="17" style="47" customWidth="1"/>
    <col min="16131" max="16132" width="9.140625" style="47"/>
    <col min="16133" max="16133" width="11.28515625" style="47" bestFit="1" customWidth="1"/>
    <col min="16134" max="16134" width="9.140625" style="47"/>
    <col min="16135" max="16135" width="9.42578125" style="47" bestFit="1" customWidth="1"/>
    <col min="16136" max="16383" width="9.140625" style="47"/>
    <col min="16384" max="16384" width="9.140625" style="47" customWidth="1"/>
  </cols>
  <sheetData>
    <row r="1" spans="1:6" ht="13.5" thickBot="1" x14ac:dyDescent="0.3">
      <c r="A1" s="440" t="s">
        <v>341</v>
      </c>
      <c r="B1" s="441"/>
      <c r="C1" s="441"/>
      <c r="D1" s="441"/>
      <c r="E1" s="441"/>
      <c r="F1" s="442"/>
    </row>
    <row r="2" spans="1:6" ht="5.0999999999999996" customHeight="1" x14ac:dyDescent="0.25">
      <c r="A2" s="446"/>
      <c r="B2" s="446"/>
      <c r="C2" s="446"/>
      <c r="D2" s="446"/>
      <c r="E2" s="446"/>
      <c r="F2" s="446"/>
    </row>
    <row r="3" spans="1:6" ht="25.5" x14ac:dyDescent="0.25">
      <c r="A3" s="78" t="s">
        <v>115</v>
      </c>
      <c r="B3" s="78" t="s">
        <v>24</v>
      </c>
      <c r="C3" s="78" t="s">
        <v>169</v>
      </c>
      <c r="D3" s="78" t="s">
        <v>116</v>
      </c>
      <c r="E3" s="78" t="s">
        <v>25</v>
      </c>
      <c r="F3" s="78" t="s">
        <v>26</v>
      </c>
    </row>
    <row r="4" spans="1:6" ht="38.25" x14ac:dyDescent="0.25">
      <c r="A4" s="79">
        <v>1</v>
      </c>
      <c r="B4" s="169" t="s">
        <v>194</v>
      </c>
      <c r="C4" s="82" t="s">
        <v>169</v>
      </c>
      <c r="D4" s="80">
        <v>2</v>
      </c>
      <c r="E4" s="74">
        <v>18.62</v>
      </c>
      <c r="F4" s="81">
        <f t="shared" ref="F4:F10" si="0">ROUND((D4*E4),2)</f>
        <v>37.24</v>
      </c>
    </row>
    <row r="5" spans="1:6" ht="28.5" x14ac:dyDescent="0.25">
      <c r="A5" s="79">
        <v>2</v>
      </c>
      <c r="B5" s="170" t="s">
        <v>195</v>
      </c>
      <c r="C5" s="82" t="s">
        <v>169</v>
      </c>
      <c r="D5" s="80">
        <v>6</v>
      </c>
      <c r="E5" s="74">
        <v>65.23</v>
      </c>
      <c r="F5" s="81">
        <f t="shared" si="0"/>
        <v>391.38</v>
      </c>
    </row>
    <row r="6" spans="1:6" ht="42.75" x14ac:dyDescent="0.25">
      <c r="A6" s="79">
        <v>3</v>
      </c>
      <c r="B6" s="168" t="s">
        <v>196</v>
      </c>
      <c r="C6" s="82" t="s">
        <v>170</v>
      </c>
      <c r="D6" s="80">
        <v>3</v>
      </c>
      <c r="E6" s="74">
        <v>40.270000000000003</v>
      </c>
      <c r="F6" s="81">
        <f t="shared" si="0"/>
        <v>120.81</v>
      </c>
    </row>
    <row r="7" spans="1:6" ht="28.5" x14ac:dyDescent="0.25">
      <c r="A7" s="79">
        <v>4</v>
      </c>
      <c r="B7" s="168" t="s">
        <v>197</v>
      </c>
      <c r="C7" s="82" t="s">
        <v>170</v>
      </c>
      <c r="D7" s="80">
        <v>6</v>
      </c>
      <c r="E7" s="74">
        <v>27.35</v>
      </c>
      <c r="F7" s="81">
        <f t="shared" si="0"/>
        <v>164.1</v>
      </c>
    </row>
    <row r="8" spans="1:6" ht="14.25" x14ac:dyDescent="0.25">
      <c r="A8" s="79">
        <v>5</v>
      </c>
      <c r="B8" s="117" t="s">
        <v>198</v>
      </c>
      <c r="C8" s="82" t="s">
        <v>169</v>
      </c>
      <c r="D8" s="80">
        <v>6</v>
      </c>
      <c r="E8" s="74">
        <v>45.01</v>
      </c>
      <c r="F8" s="81">
        <f t="shared" si="0"/>
        <v>270.06</v>
      </c>
    </row>
    <row r="9" spans="1:6" x14ac:dyDescent="0.25">
      <c r="A9" s="79">
        <v>6</v>
      </c>
      <c r="B9" s="73"/>
      <c r="C9" s="82"/>
      <c r="D9" s="80"/>
      <c r="E9" s="74"/>
      <c r="F9" s="101">
        <f t="shared" si="0"/>
        <v>0</v>
      </c>
    </row>
    <row r="10" spans="1:6" x14ac:dyDescent="0.25">
      <c r="A10" s="79">
        <v>7</v>
      </c>
      <c r="B10" s="73"/>
      <c r="C10" s="82"/>
      <c r="D10" s="80"/>
      <c r="E10" s="74"/>
      <c r="F10" s="101">
        <f t="shared" si="0"/>
        <v>0</v>
      </c>
    </row>
    <row r="11" spans="1:6" ht="13.5" thickBot="1" x14ac:dyDescent="0.3">
      <c r="A11" s="443" t="s">
        <v>27</v>
      </c>
      <c r="B11" s="444"/>
      <c r="C11" s="444"/>
      <c r="D11" s="444"/>
      <c r="E11" s="445"/>
      <c r="F11" s="102">
        <f>SUM(F4:F10)</f>
        <v>983.59000000000015</v>
      </c>
    </row>
    <row r="12" spans="1:6" ht="13.5" thickBot="1" x14ac:dyDescent="0.3">
      <c r="A12" s="440" t="s">
        <v>28</v>
      </c>
      <c r="B12" s="441"/>
      <c r="C12" s="441"/>
      <c r="D12" s="441"/>
      <c r="E12" s="442"/>
      <c r="F12" s="103">
        <f>F11/12</f>
        <v>81.96583333333335</v>
      </c>
    </row>
    <row r="13" spans="1:6" ht="13.5" thickBot="1" x14ac:dyDescent="0.3"/>
    <row r="14" spans="1:6" ht="13.5" thickBot="1" x14ac:dyDescent="0.3">
      <c r="A14" s="440" t="s">
        <v>348</v>
      </c>
      <c r="B14" s="441"/>
      <c r="C14" s="441"/>
      <c r="D14" s="441"/>
      <c r="E14" s="441"/>
      <c r="F14" s="442"/>
    </row>
    <row r="15" spans="1:6" x14ac:dyDescent="0.25">
      <c r="A15" s="446"/>
      <c r="B15" s="446"/>
      <c r="C15" s="446"/>
      <c r="D15" s="446"/>
      <c r="E15" s="446"/>
      <c r="F15" s="446"/>
    </row>
    <row r="16" spans="1:6" ht="25.5" x14ac:dyDescent="0.25">
      <c r="A16" s="78" t="s">
        <v>115</v>
      </c>
      <c r="B16" s="78" t="s">
        <v>24</v>
      </c>
      <c r="C16" s="78" t="s">
        <v>169</v>
      </c>
      <c r="D16" s="78" t="s">
        <v>116</v>
      </c>
      <c r="E16" s="78" t="s">
        <v>25</v>
      </c>
      <c r="F16" s="78" t="s">
        <v>26</v>
      </c>
    </row>
    <row r="17" spans="1:6" ht="25.5" x14ac:dyDescent="0.25">
      <c r="A17" s="79">
        <v>1</v>
      </c>
      <c r="B17" s="169" t="s">
        <v>195</v>
      </c>
      <c r="C17" s="164" t="s">
        <v>169</v>
      </c>
      <c r="D17" s="80">
        <v>6</v>
      </c>
      <c r="E17" s="74">
        <v>65.23</v>
      </c>
      <c r="F17" s="81">
        <f t="shared" ref="F17:F22" si="1">ROUND((D17*E17),2)</f>
        <v>391.38</v>
      </c>
    </row>
    <row r="18" spans="1:6" ht="38.25" x14ac:dyDescent="0.25">
      <c r="A18" s="79">
        <v>2</v>
      </c>
      <c r="B18" s="169" t="s">
        <v>196</v>
      </c>
      <c r="C18" s="164" t="s">
        <v>170</v>
      </c>
      <c r="D18" s="80">
        <v>3</v>
      </c>
      <c r="E18" s="74">
        <v>40.270000000000003</v>
      </c>
      <c r="F18" s="81">
        <f t="shared" si="1"/>
        <v>120.81</v>
      </c>
    </row>
    <row r="19" spans="1:6" x14ac:dyDescent="0.25">
      <c r="A19" s="79">
        <v>3</v>
      </c>
      <c r="B19" s="169" t="s">
        <v>197</v>
      </c>
      <c r="C19" s="164" t="s">
        <v>170</v>
      </c>
      <c r="D19" s="80">
        <v>6</v>
      </c>
      <c r="E19" s="74">
        <v>27.35</v>
      </c>
      <c r="F19" s="81">
        <f t="shared" si="1"/>
        <v>164.1</v>
      </c>
    </row>
    <row r="20" spans="1:6" x14ac:dyDescent="0.25">
      <c r="A20" s="79">
        <v>4</v>
      </c>
      <c r="B20" s="163" t="s">
        <v>198</v>
      </c>
      <c r="C20" s="164" t="s">
        <v>169</v>
      </c>
      <c r="D20" s="80">
        <v>6</v>
      </c>
      <c r="E20" s="74">
        <v>45.01</v>
      </c>
      <c r="F20" s="81">
        <f t="shared" si="1"/>
        <v>270.06</v>
      </c>
    </row>
    <row r="21" spans="1:6" x14ac:dyDescent="0.25">
      <c r="A21" s="79">
        <v>5</v>
      </c>
      <c r="B21" s="73"/>
      <c r="C21" s="164"/>
      <c r="D21" s="80"/>
      <c r="E21" s="74"/>
      <c r="F21" s="101">
        <f t="shared" si="1"/>
        <v>0</v>
      </c>
    </row>
    <row r="22" spans="1:6" x14ac:dyDescent="0.25">
      <c r="A22" s="79">
        <v>6</v>
      </c>
      <c r="B22" s="73"/>
      <c r="C22" s="164"/>
      <c r="D22" s="80"/>
      <c r="E22" s="74"/>
      <c r="F22" s="101">
        <f t="shared" si="1"/>
        <v>0</v>
      </c>
    </row>
    <row r="23" spans="1:6" ht="13.5" thickBot="1" x14ac:dyDescent="0.3">
      <c r="A23" s="443" t="s">
        <v>27</v>
      </c>
      <c r="B23" s="444"/>
      <c r="C23" s="444"/>
      <c r="D23" s="444"/>
      <c r="E23" s="445"/>
      <c r="F23" s="102">
        <f>SUM(F17:F22)</f>
        <v>946.35000000000014</v>
      </c>
    </row>
    <row r="24" spans="1:6" ht="13.5" thickBot="1" x14ac:dyDescent="0.3">
      <c r="A24" s="440" t="s">
        <v>28</v>
      </c>
      <c r="B24" s="441"/>
      <c r="C24" s="441"/>
      <c r="D24" s="441"/>
      <c r="E24" s="442"/>
      <c r="F24" s="103">
        <f>F23/12</f>
        <v>78.862500000000011</v>
      </c>
    </row>
    <row r="25" spans="1:6" ht="13.5" thickBot="1" x14ac:dyDescent="0.3"/>
    <row r="26" spans="1:6" ht="13.5" thickBot="1" x14ac:dyDescent="0.3">
      <c r="A26" s="440" t="s">
        <v>380</v>
      </c>
      <c r="B26" s="441"/>
      <c r="C26" s="441"/>
      <c r="D26" s="441"/>
      <c r="E26" s="441"/>
      <c r="F26" s="442"/>
    </row>
    <row r="27" spans="1:6" x14ac:dyDescent="0.25">
      <c r="A27" s="446"/>
      <c r="B27" s="446"/>
      <c r="C27" s="446"/>
      <c r="D27" s="446"/>
      <c r="E27" s="446"/>
      <c r="F27" s="446"/>
    </row>
    <row r="28" spans="1:6" ht="25.5" x14ac:dyDescent="0.25">
      <c r="A28" s="78" t="s">
        <v>115</v>
      </c>
      <c r="B28" s="78" t="s">
        <v>24</v>
      </c>
      <c r="C28" s="78" t="s">
        <v>169</v>
      </c>
      <c r="D28" s="78" t="s">
        <v>116</v>
      </c>
      <c r="E28" s="78" t="s">
        <v>25</v>
      </c>
      <c r="F28" s="78" t="s">
        <v>26</v>
      </c>
    </row>
    <row r="29" spans="1:6" ht="25.5" x14ac:dyDescent="0.25">
      <c r="A29" s="79">
        <v>1</v>
      </c>
      <c r="B29" s="169" t="s">
        <v>195</v>
      </c>
      <c r="C29" s="212" t="s">
        <v>169</v>
      </c>
      <c r="D29" s="80">
        <v>6</v>
      </c>
      <c r="E29" s="74">
        <v>65.23</v>
      </c>
      <c r="F29" s="81">
        <f t="shared" ref="F29:F34" si="2">ROUND((D29*E29),2)</f>
        <v>391.38</v>
      </c>
    </row>
    <row r="30" spans="1:6" ht="38.25" x14ac:dyDescent="0.25">
      <c r="A30" s="79">
        <v>2</v>
      </c>
      <c r="B30" s="169" t="s">
        <v>196</v>
      </c>
      <c r="C30" s="212" t="s">
        <v>170</v>
      </c>
      <c r="D30" s="80">
        <v>3</v>
      </c>
      <c r="E30" s="74">
        <v>40.270000000000003</v>
      </c>
      <c r="F30" s="81">
        <f t="shared" si="2"/>
        <v>120.81</v>
      </c>
    </row>
    <row r="31" spans="1:6" x14ac:dyDescent="0.25">
      <c r="A31" s="79">
        <v>3</v>
      </c>
      <c r="B31" s="169" t="s">
        <v>197</v>
      </c>
      <c r="C31" s="212" t="s">
        <v>170</v>
      </c>
      <c r="D31" s="80">
        <v>6</v>
      </c>
      <c r="E31" s="74">
        <v>27.35</v>
      </c>
      <c r="F31" s="81">
        <f t="shared" si="2"/>
        <v>164.1</v>
      </c>
    </row>
    <row r="32" spans="1:6" x14ac:dyDescent="0.25">
      <c r="A32" s="79">
        <v>4</v>
      </c>
      <c r="B32" s="211" t="s">
        <v>198</v>
      </c>
      <c r="C32" s="212" t="s">
        <v>169</v>
      </c>
      <c r="D32" s="80">
        <v>6</v>
      </c>
      <c r="E32" s="74">
        <v>45.01</v>
      </c>
      <c r="F32" s="81">
        <f t="shared" si="2"/>
        <v>270.06</v>
      </c>
    </row>
    <row r="33" spans="1:6" x14ac:dyDescent="0.25">
      <c r="A33" s="79">
        <v>5</v>
      </c>
      <c r="B33" s="73"/>
      <c r="C33" s="212"/>
      <c r="D33" s="80"/>
      <c r="E33" s="74"/>
      <c r="F33" s="101">
        <f t="shared" si="2"/>
        <v>0</v>
      </c>
    </row>
    <row r="34" spans="1:6" x14ac:dyDescent="0.25">
      <c r="A34" s="79">
        <v>6</v>
      </c>
      <c r="B34" s="73"/>
      <c r="C34" s="212"/>
      <c r="D34" s="80"/>
      <c r="E34" s="74"/>
      <c r="F34" s="101">
        <f t="shared" si="2"/>
        <v>0</v>
      </c>
    </row>
    <row r="35" spans="1:6" ht="13.5" thickBot="1" x14ac:dyDescent="0.3">
      <c r="A35" s="443" t="s">
        <v>27</v>
      </c>
      <c r="B35" s="444"/>
      <c r="C35" s="444"/>
      <c r="D35" s="444"/>
      <c r="E35" s="445"/>
      <c r="F35" s="102">
        <f>SUM(F29:F34)</f>
        <v>946.35000000000014</v>
      </c>
    </row>
    <row r="36" spans="1:6" ht="13.5" thickBot="1" x14ac:dyDescent="0.3">
      <c r="A36" s="440" t="s">
        <v>28</v>
      </c>
      <c r="B36" s="441"/>
      <c r="C36" s="441"/>
      <c r="D36" s="441"/>
      <c r="E36" s="442"/>
      <c r="F36" s="103">
        <f>F35/12</f>
        <v>78.862500000000011</v>
      </c>
    </row>
  </sheetData>
  <mergeCells count="12">
    <mergeCell ref="A26:F26"/>
    <mergeCell ref="A27:F27"/>
    <mergeCell ref="A35:E35"/>
    <mergeCell ref="A36:E36"/>
    <mergeCell ref="A15:F15"/>
    <mergeCell ref="A23:E23"/>
    <mergeCell ref="A24:E24"/>
    <mergeCell ref="A1:F1"/>
    <mergeCell ref="A11:E11"/>
    <mergeCell ref="A12:E12"/>
    <mergeCell ref="A2:F2"/>
    <mergeCell ref="A14:F14"/>
  </mergeCells>
  <pageMargins left="0.511811024" right="0.511811024" top="0.78740157499999996" bottom="0.78740157499999996" header="0.31496062000000002" footer="0.31496062000000002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E8E4E-5EE7-4B41-8F76-D073F59E59AB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BEA36-9112-4D74-9E2F-F5181EDFA7AD}">
  <sheetPr>
    <tabColor rgb="FFFFFF00"/>
  </sheetPr>
  <dimension ref="A1:L134"/>
  <sheetViews>
    <sheetView view="pageBreakPreview" topLeftCell="A49" zoomScale="115" zoomScaleNormal="100" zoomScaleSheetLayoutView="115" workbookViewId="0">
      <selection activeCell="I19" sqref="I19"/>
    </sheetView>
  </sheetViews>
  <sheetFormatPr defaultRowHeight="15.75" x14ac:dyDescent="0.25"/>
  <cols>
    <col min="1" max="1" width="10.140625" style="2" bestFit="1" customWidth="1"/>
    <col min="2" max="2" width="12.5703125" style="2" bestFit="1" customWidth="1"/>
    <col min="3" max="3" width="10.85546875" style="2" customWidth="1"/>
    <col min="4" max="4" width="14.42578125" style="2" customWidth="1"/>
    <col min="5" max="5" width="12.85546875" style="2" bestFit="1" customWidth="1"/>
    <col min="6" max="6" width="11" style="2" bestFit="1" customWidth="1"/>
    <col min="7" max="7" width="19.85546875" style="2" customWidth="1"/>
    <col min="8" max="8" width="14.7109375" style="2" customWidth="1"/>
    <col min="9" max="9" width="34" style="2" bestFit="1" customWidth="1"/>
    <col min="10" max="10" width="4" style="2" customWidth="1"/>
    <col min="11" max="11" width="14.140625" style="2" customWidth="1"/>
    <col min="12" max="12" width="11.42578125" style="2" customWidth="1"/>
    <col min="13" max="15" width="9.28515625" style="2" bestFit="1" customWidth="1"/>
    <col min="16" max="256" width="9.140625" style="2"/>
    <col min="257" max="257" width="10.140625" style="2" bestFit="1" customWidth="1"/>
    <col min="258" max="259" width="9.140625" style="2"/>
    <col min="260" max="260" width="20.85546875" style="2" customWidth="1"/>
    <col min="261" max="261" width="12.85546875" style="2" bestFit="1" customWidth="1"/>
    <col min="262" max="262" width="9.140625" style="2"/>
    <col min="263" max="263" width="19.85546875" style="2" customWidth="1"/>
    <col min="264" max="264" width="14.7109375" style="2" customWidth="1"/>
    <col min="265" max="265" width="34" style="2" bestFit="1" customWidth="1"/>
    <col min="266" max="266" width="4" style="2" customWidth="1"/>
    <col min="267" max="267" width="14.140625" style="2" customWidth="1"/>
    <col min="268" max="268" width="11.42578125" style="2" customWidth="1"/>
    <col min="269" max="271" width="9.28515625" style="2" bestFit="1" customWidth="1"/>
    <col min="272" max="512" width="9.140625" style="2"/>
    <col min="513" max="513" width="10.140625" style="2" bestFit="1" customWidth="1"/>
    <col min="514" max="515" width="9.140625" style="2"/>
    <col min="516" max="516" width="20.85546875" style="2" customWidth="1"/>
    <col min="517" max="517" width="12.85546875" style="2" bestFit="1" customWidth="1"/>
    <col min="518" max="518" width="9.140625" style="2"/>
    <col min="519" max="519" width="19.85546875" style="2" customWidth="1"/>
    <col min="520" max="520" width="14.7109375" style="2" customWidth="1"/>
    <col min="521" max="521" width="34" style="2" bestFit="1" customWidth="1"/>
    <col min="522" max="522" width="4" style="2" customWidth="1"/>
    <col min="523" max="523" width="14.140625" style="2" customWidth="1"/>
    <col min="524" max="524" width="11.42578125" style="2" customWidth="1"/>
    <col min="525" max="527" width="9.28515625" style="2" bestFit="1" customWidth="1"/>
    <col min="528" max="768" width="9.140625" style="2"/>
    <col min="769" max="769" width="10.140625" style="2" bestFit="1" customWidth="1"/>
    <col min="770" max="771" width="9.140625" style="2"/>
    <col min="772" max="772" width="20.85546875" style="2" customWidth="1"/>
    <col min="773" max="773" width="12.85546875" style="2" bestFit="1" customWidth="1"/>
    <col min="774" max="774" width="9.140625" style="2"/>
    <col min="775" max="775" width="19.85546875" style="2" customWidth="1"/>
    <col min="776" max="776" width="14.7109375" style="2" customWidth="1"/>
    <col min="777" max="777" width="34" style="2" bestFit="1" customWidth="1"/>
    <col min="778" max="778" width="4" style="2" customWidth="1"/>
    <col min="779" max="779" width="14.140625" style="2" customWidth="1"/>
    <col min="780" max="780" width="11.42578125" style="2" customWidth="1"/>
    <col min="781" max="783" width="9.28515625" style="2" bestFit="1" customWidth="1"/>
    <col min="784" max="1024" width="9.140625" style="2"/>
    <col min="1025" max="1025" width="10.140625" style="2" bestFit="1" customWidth="1"/>
    <col min="1026" max="1027" width="9.140625" style="2"/>
    <col min="1028" max="1028" width="20.85546875" style="2" customWidth="1"/>
    <col min="1029" max="1029" width="12.85546875" style="2" bestFit="1" customWidth="1"/>
    <col min="1030" max="1030" width="9.140625" style="2"/>
    <col min="1031" max="1031" width="19.85546875" style="2" customWidth="1"/>
    <col min="1032" max="1032" width="14.7109375" style="2" customWidth="1"/>
    <col min="1033" max="1033" width="34" style="2" bestFit="1" customWidth="1"/>
    <col min="1034" max="1034" width="4" style="2" customWidth="1"/>
    <col min="1035" max="1035" width="14.140625" style="2" customWidth="1"/>
    <col min="1036" max="1036" width="11.42578125" style="2" customWidth="1"/>
    <col min="1037" max="1039" width="9.28515625" style="2" bestFit="1" customWidth="1"/>
    <col min="1040" max="1280" width="9.140625" style="2"/>
    <col min="1281" max="1281" width="10.140625" style="2" bestFit="1" customWidth="1"/>
    <col min="1282" max="1283" width="9.140625" style="2"/>
    <col min="1284" max="1284" width="20.85546875" style="2" customWidth="1"/>
    <col min="1285" max="1285" width="12.85546875" style="2" bestFit="1" customWidth="1"/>
    <col min="1286" max="1286" width="9.140625" style="2"/>
    <col min="1287" max="1287" width="19.85546875" style="2" customWidth="1"/>
    <col min="1288" max="1288" width="14.7109375" style="2" customWidth="1"/>
    <col min="1289" max="1289" width="34" style="2" bestFit="1" customWidth="1"/>
    <col min="1290" max="1290" width="4" style="2" customWidth="1"/>
    <col min="1291" max="1291" width="14.140625" style="2" customWidth="1"/>
    <col min="1292" max="1292" width="11.42578125" style="2" customWidth="1"/>
    <col min="1293" max="1295" width="9.28515625" style="2" bestFit="1" customWidth="1"/>
    <col min="1296" max="1536" width="9.140625" style="2"/>
    <col min="1537" max="1537" width="10.140625" style="2" bestFit="1" customWidth="1"/>
    <col min="1538" max="1539" width="9.140625" style="2"/>
    <col min="1540" max="1540" width="20.85546875" style="2" customWidth="1"/>
    <col min="1541" max="1541" width="12.85546875" style="2" bestFit="1" customWidth="1"/>
    <col min="1542" max="1542" width="9.140625" style="2"/>
    <col min="1543" max="1543" width="19.85546875" style="2" customWidth="1"/>
    <col min="1544" max="1544" width="14.7109375" style="2" customWidth="1"/>
    <col min="1545" max="1545" width="34" style="2" bestFit="1" customWidth="1"/>
    <col min="1546" max="1546" width="4" style="2" customWidth="1"/>
    <col min="1547" max="1547" width="14.140625" style="2" customWidth="1"/>
    <col min="1548" max="1548" width="11.42578125" style="2" customWidth="1"/>
    <col min="1549" max="1551" width="9.28515625" style="2" bestFit="1" customWidth="1"/>
    <col min="1552" max="1792" width="9.140625" style="2"/>
    <col min="1793" max="1793" width="10.140625" style="2" bestFit="1" customWidth="1"/>
    <col min="1794" max="1795" width="9.140625" style="2"/>
    <col min="1796" max="1796" width="20.85546875" style="2" customWidth="1"/>
    <col min="1797" max="1797" width="12.85546875" style="2" bestFit="1" customWidth="1"/>
    <col min="1798" max="1798" width="9.140625" style="2"/>
    <col min="1799" max="1799" width="19.85546875" style="2" customWidth="1"/>
    <col min="1800" max="1800" width="14.7109375" style="2" customWidth="1"/>
    <col min="1801" max="1801" width="34" style="2" bestFit="1" customWidth="1"/>
    <col min="1802" max="1802" width="4" style="2" customWidth="1"/>
    <col min="1803" max="1803" width="14.140625" style="2" customWidth="1"/>
    <col min="1804" max="1804" width="11.42578125" style="2" customWidth="1"/>
    <col min="1805" max="1807" width="9.28515625" style="2" bestFit="1" customWidth="1"/>
    <col min="1808" max="2048" width="9.140625" style="2"/>
    <col min="2049" max="2049" width="10.140625" style="2" bestFit="1" customWidth="1"/>
    <col min="2050" max="2051" width="9.140625" style="2"/>
    <col min="2052" max="2052" width="20.85546875" style="2" customWidth="1"/>
    <col min="2053" max="2053" width="12.85546875" style="2" bestFit="1" customWidth="1"/>
    <col min="2054" max="2054" width="9.140625" style="2"/>
    <col min="2055" max="2055" width="19.85546875" style="2" customWidth="1"/>
    <col min="2056" max="2056" width="14.7109375" style="2" customWidth="1"/>
    <col min="2057" max="2057" width="34" style="2" bestFit="1" customWidth="1"/>
    <col min="2058" max="2058" width="4" style="2" customWidth="1"/>
    <col min="2059" max="2059" width="14.140625" style="2" customWidth="1"/>
    <col min="2060" max="2060" width="11.42578125" style="2" customWidth="1"/>
    <col min="2061" max="2063" width="9.28515625" style="2" bestFit="1" customWidth="1"/>
    <col min="2064" max="2304" width="9.140625" style="2"/>
    <col min="2305" max="2305" width="10.140625" style="2" bestFit="1" customWidth="1"/>
    <col min="2306" max="2307" width="9.140625" style="2"/>
    <col min="2308" max="2308" width="20.85546875" style="2" customWidth="1"/>
    <col min="2309" max="2309" width="12.85546875" style="2" bestFit="1" customWidth="1"/>
    <col min="2310" max="2310" width="9.140625" style="2"/>
    <col min="2311" max="2311" width="19.85546875" style="2" customWidth="1"/>
    <col min="2312" max="2312" width="14.7109375" style="2" customWidth="1"/>
    <col min="2313" max="2313" width="34" style="2" bestFit="1" customWidth="1"/>
    <col min="2314" max="2314" width="4" style="2" customWidth="1"/>
    <col min="2315" max="2315" width="14.140625" style="2" customWidth="1"/>
    <col min="2316" max="2316" width="11.42578125" style="2" customWidth="1"/>
    <col min="2317" max="2319" width="9.28515625" style="2" bestFit="1" customWidth="1"/>
    <col min="2320" max="2560" width="9.140625" style="2"/>
    <col min="2561" max="2561" width="10.140625" style="2" bestFit="1" customWidth="1"/>
    <col min="2562" max="2563" width="9.140625" style="2"/>
    <col min="2564" max="2564" width="20.85546875" style="2" customWidth="1"/>
    <col min="2565" max="2565" width="12.85546875" style="2" bestFit="1" customWidth="1"/>
    <col min="2566" max="2566" width="9.140625" style="2"/>
    <col min="2567" max="2567" width="19.85546875" style="2" customWidth="1"/>
    <col min="2568" max="2568" width="14.7109375" style="2" customWidth="1"/>
    <col min="2569" max="2569" width="34" style="2" bestFit="1" customWidth="1"/>
    <col min="2570" max="2570" width="4" style="2" customWidth="1"/>
    <col min="2571" max="2571" width="14.140625" style="2" customWidth="1"/>
    <col min="2572" max="2572" width="11.42578125" style="2" customWidth="1"/>
    <col min="2573" max="2575" width="9.28515625" style="2" bestFit="1" customWidth="1"/>
    <col min="2576" max="2816" width="9.140625" style="2"/>
    <col min="2817" max="2817" width="10.140625" style="2" bestFit="1" customWidth="1"/>
    <col min="2818" max="2819" width="9.140625" style="2"/>
    <col min="2820" max="2820" width="20.85546875" style="2" customWidth="1"/>
    <col min="2821" max="2821" width="12.85546875" style="2" bestFit="1" customWidth="1"/>
    <col min="2822" max="2822" width="9.140625" style="2"/>
    <col min="2823" max="2823" width="19.85546875" style="2" customWidth="1"/>
    <col min="2824" max="2824" width="14.7109375" style="2" customWidth="1"/>
    <col min="2825" max="2825" width="34" style="2" bestFit="1" customWidth="1"/>
    <col min="2826" max="2826" width="4" style="2" customWidth="1"/>
    <col min="2827" max="2827" width="14.140625" style="2" customWidth="1"/>
    <col min="2828" max="2828" width="11.42578125" style="2" customWidth="1"/>
    <col min="2829" max="2831" width="9.28515625" style="2" bestFit="1" customWidth="1"/>
    <col min="2832" max="3072" width="9.140625" style="2"/>
    <col min="3073" max="3073" width="10.140625" style="2" bestFit="1" customWidth="1"/>
    <col min="3074" max="3075" width="9.140625" style="2"/>
    <col min="3076" max="3076" width="20.85546875" style="2" customWidth="1"/>
    <col min="3077" max="3077" width="12.85546875" style="2" bestFit="1" customWidth="1"/>
    <col min="3078" max="3078" width="9.140625" style="2"/>
    <col min="3079" max="3079" width="19.85546875" style="2" customWidth="1"/>
    <col min="3080" max="3080" width="14.7109375" style="2" customWidth="1"/>
    <col min="3081" max="3081" width="34" style="2" bestFit="1" customWidth="1"/>
    <col min="3082" max="3082" width="4" style="2" customWidth="1"/>
    <col min="3083" max="3083" width="14.140625" style="2" customWidth="1"/>
    <col min="3084" max="3084" width="11.42578125" style="2" customWidth="1"/>
    <col min="3085" max="3087" width="9.28515625" style="2" bestFit="1" customWidth="1"/>
    <col min="3088" max="3328" width="9.140625" style="2"/>
    <col min="3329" max="3329" width="10.140625" style="2" bestFit="1" customWidth="1"/>
    <col min="3330" max="3331" width="9.140625" style="2"/>
    <col min="3332" max="3332" width="20.85546875" style="2" customWidth="1"/>
    <col min="3333" max="3333" width="12.85546875" style="2" bestFit="1" customWidth="1"/>
    <col min="3334" max="3334" width="9.140625" style="2"/>
    <col min="3335" max="3335" width="19.85546875" style="2" customWidth="1"/>
    <col min="3336" max="3336" width="14.7109375" style="2" customWidth="1"/>
    <col min="3337" max="3337" width="34" style="2" bestFit="1" customWidth="1"/>
    <col min="3338" max="3338" width="4" style="2" customWidth="1"/>
    <col min="3339" max="3339" width="14.140625" style="2" customWidth="1"/>
    <col min="3340" max="3340" width="11.42578125" style="2" customWidth="1"/>
    <col min="3341" max="3343" width="9.28515625" style="2" bestFit="1" customWidth="1"/>
    <col min="3344" max="3584" width="9.140625" style="2"/>
    <col min="3585" max="3585" width="10.140625" style="2" bestFit="1" customWidth="1"/>
    <col min="3586" max="3587" width="9.140625" style="2"/>
    <col min="3588" max="3588" width="20.85546875" style="2" customWidth="1"/>
    <col min="3589" max="3589" width="12.85546875" style="2" bestFit="1" customWidth="1"/>
    <col min="3590" max="3590" width="9.140625" style="2"/>
    <col min="3591" max="3591" width="19.85546875" style="2" customWidth="1"/>
    <col min="3592" max="3592" width="14.7109375" style="2" customWidth="1"/>
    <col min="3593" max="3593" width="34" style="2" bestFit="1" customWidth="1"/>
    <col min="3594" max="3594" width="4" style="2" customWidth="1"/>
    <col min="3595" max="3595" width="14.140625" style="2" customWidth="1"/>
    <col min="3596" max="3596" width="11.42578125" style="2" customWidth="1"/>
    <col min="3597" max="3599" width="9.28515625" style="2" bestFit="1" customWidth="1"/>
    <col min="3600" max="3840" width="9.140625" style="2"/>
    <col min="3841" max="3841" width="10.140625" style="2" bestFit="1" customWidth="1"/>
    <col min="3842" max="3843" width="9.140625" style="2"/>
    <col min="3844" max="3844" width="20.85546875" style="2" customWidth="1"/>
    <col min="3845" max="3845" width="12.85546875" style="2" bestFit="1" customWidth="1"/>
    <col min="3846" max="3846" width="9.140625" style="2"/>
    <col min="3847" max="3847" width="19.85546875" style="2" customWidth="1"/>
    <col min="3848" max="3848" width="14.7109375" style="2" customWidth="1"/>
    <col min="3849" max="3849" width="34" style="2" bestFit="1" customWidth="1"/>
    <col min="3850" max="3850" width="4" style="2" customWidth="1"/>
    <col min="3851" max="3851" width="14.140625" style="2" customWidth="1"/>
    <col min="3852" max="3852" width="11.42578125" style="2" customWidth="1"/>
    <col min="3853" max="3855" width="9.28515625" style="2" bestFit="1" customWidth="1"/>
    <col min="3856" max="4096" width="9.140625" style="2"/>
    <col min="4097" max="4097" width="10.140625" style="2" bestFit="1" customWidth="1"/>
    <col min="4098" max="4099" width="9.140625" style="2"/>
    <col min="4100" max="4100" width="20.85546875" style="2" customWidth="1"/>
    <col min="4101" max="4101" width="12.85546875" style="2" bestFit="1" customWidth="1"/>
    <col min="4102" max="4102" width="9.140625" style="2"/>
    <col min="4103" max="4103" width="19.85546875" style="2" customWidth="1"/>
    <col min="4104" max="4104" width="14.7109375" style="2" customWidth="1"/>
    <col min="4105" max="4105" width="34" style="2" bestFit="1" customWidth="1"/>
    <col min="4106" max="4106" width="4" style="2" customWidth="1"/>
    <col min="4107" max="4107" width="14.140625" style="2" customWidth="1"/>
    <col min="4108" max="4108" width="11.42578125" style="2" customWidth="1"/>
    <col min="4109" max="4111" width="9.28515625" style="2" bestFit="1" customWidth="1"/>
    <col min="4112" max="4352" width="9.140625" style="2"/>
    <col min="4353" max="4353" width="10.140625" style="2" bestFit="1" customWidth="1"/>
    <col min="4354" max="4355" width="9.140625" style="2"/>
    <col min="4356" max="4356" width="20.85546875" style="2" customWidth="1"/>
    <col min="4357" max="4357" width="12.85546875" style="2" bestFit="1" customWidth="1"/>
    <col min="4358" max="4358" width="9.140625" style="2"/>
    <col min="4359" max="4359" width="19.85546875" style="2" customWidth="1"/>
    <col min="4360" max="4360" width="14.7109375" style="2" customWidth="1"/>
    <col min="4361" max="4361" width="34" style="2" bestFit="1" customWidth="1"/>
    <col min="4362" max="4362" width="4" style="2" customWidth="1"/>
    <col min="4363" max="4363" width="14.140625" style="2" customWidth="1"/>
    <col min="4364" max="4364" width="11.42578125" style="2" customWidth="1"/>
    <col min="4365" max="4367" width="9.28515625" style="2" bestFit="1" customWidth="1"/>
    <col min="4368" max="4608" width="9.140625" style="2"/>
    <col min="4609" max="4609" width="10.140625" style="2" bestFit="1" customWidth="1"/>
    <col min="4610" max="4611" width="9.140625" style="2"/>
    <col min="4612" max="4612" width="20.85546875" style="2" customWidth="1"/>
    <col min="4613" max="4613" width="12.85546875" style="2" bestFit="1" customWidth="1"/>
    <col min="4614" max="4614" width="9.140625" style="2"/>
    <col min="4615" max="4615" width="19.85546875" style="2" customWidth="1"/>
    <col min="4616" max="4616" width="14.7109375" style="2" customWidth="1"/>
    <col min="4617" max="4617" width="34" style="2" bestFit="1" customWidth="1"/>
    <col min="4618" max="4618" width="4" style="2" customWidth="1"/>
    <col min="4619" max="4619" width="14.140625" style="2" customWidth="1"/>
    <col min="4620" max="4620" width="11.42578125" style="2" customWidth="1"/>
    <col min="4621" max="4623" width="9.28515625" style="2" bestFit="1" customWidth="1"/>
    <col min="4624" max="4864" width="9.140625" style="2"/>
    <col min="4865" max="4865" width="10.140625" style="2" bestFit="1" customWidth="1"/>
    <col min="4866" max="4867" width="9.140625" style="2"/>
    <col min="4868" max="4868" width="20.85546875" style="2" customWidth="1"/>
    <col min="4869" max="4869" width="12.85546875" style="2" bestFit="1" customWidth="1"/>
    <col min="4870" max="4870" width="9.140625" style="2"/>
    <col min="4871" max="4871" width="19.85546875" style="2" customWidth="1"/>
    <col min="4872" max="4872" width="14.7109375" style="2" customWidth="1"/>
    <col min="4873" max="4873" width="34" style="2" bestFit="1" customWidth="1"/>
    <col min="4874" max="4874" width="4" style="2" customWidth="1"/>
    <col min="4875" max="4875" width="14.140625" style="2" customWidth="1"/>
    <col min="4876" max="4876" width="11.42578125" style="2" customWidth="1"/>
    <col min="4877" max="4879" width="9.28515625" style="2" bestFit="1" customWidth="1"/>
    <col min="4880" max="5120" width="9.140625" style="2"/>
    <col min="5121" max="5121" width="10.140625" style="2" bestFit="1" customWidth="1"/>
    <col min="5122" max="5123" width="9.140625" style="2"/>
    <col min="5124" max="5124" width="20.85546875" style="2" customWidth="1"/>
    <col min="5125" max="5125" width="12.85546875" style="2" bestFit="1" customWidth="1"/>
    <col min="5126" max="5126" width="9.140625" style="2"/>
    <col min="5127" max="5127" width="19.85546875" style="2" customWidth="1"/>
    <col min="5128" max="5128" width="14.7109375" style="2" customWidth="1"/>
    <col min="5129" max="5129" width="34" style="2" bestFit="1" customWidth="1"/>
    <col min="5130" max="5130" width="4" style="2" customWidth="1"/>
    <col min="5131" max="5131" width="14.140625" style="2" customWidth="1"/>
    <col min="5132" max="5132" width="11.42578125" style="2" customWidth="1"/>
    <col min="5133" max="5135" width="9.28515625" style="2" bestFit="1" customWidth="1"/>
    <col min="5136" max="5376" width="9.140625" style="2"/>
    <col min="5377" max="5377" width="10.140625" style="2" bestFit="1" customWidth="1"/>
    <col min="5378" max="5379" width="9.140625" style="2"/>
    <col min="5380" max="5380" width="20.85546875" style="2" customWidth="1"/>
    <col min="5381" max="5381" width="12.85546875" style="2" bestFit="1" customWidth="1"/>
    <col min="5382" max="5382" width="9.140625" style="2"/>
    <col min="5383" max="5383" width="19.85546875" style="2" customWidth="1"/>
    <col min="5384" max="5384" width="14.7109375" style="2" customWidth="1"/>
    <col min="5385" max="5385" width="34" style="2" bestFit="1" customWidth="1"/>
    <col min="5386" max="5386" width="4" style="2" customWidth="1"/>
    <col min="5387" max="5387" width="14.140625" style="2" customWidth="1"/>
    <col min="5388" max="5388" width="11.42578125" style="2" customWidth="1"/>
    <col min="5389" max="5391" width="9.28515625" style="2" bestFit="1" customWidth="1"/>
    <col min="5392" max="5632" width="9.140625" style="2"/>
    <col min="5633" max="5633" width="10.140625" style="2" bestFit="1" customWidth="1"/>
    <col min="5634" max="5635" width="9.140625" style="2"/>
    <col min="5636" max="5636" width="20.85546875" style="2" customWidth="1"/>
    <col min="5637" max="5637" width="12.85546875" style="2" bestFit="1" customWidth="1"/>
    <col min="5638" max="5638" width="9.140625" style="2"/>
    <col min="5639" max="5639" width="19.85546875" style="2" customWidth="1"/>
    <col min="5640" max="5640" width="14.7109375" style="2" customWidth="1"/>
    <col min="5641" max="5641" width="34" style="2" bestFit="1" customWidth="1"/>
    <col min="5642" max="5642" width="4" style="2" customWidth="1"/>
    <col min="5643" max="5643" width="14.140625" style="2" customWidth="1"/>
    <col min="5644" max="5644" width="11.42578125" style="2" customWidth="1"/>
    <col min="5645" max="5647" width="9.28515625" style="2" bestFit="1" customWidth="1"/>
    <col min="5648" max="5888" width="9.140625" style="2"/>
    <col min="5889" max="5889" width="10.140625" style="2" bestFit="1" customWidth="1"/>
    <col min="5890" max="5891" width="9.140625" style="2"/>
    <col min="5892" max="5892" width="20.85546875" style="2" customWidth="1"/>
    <col min="5893" max="5893" width="12.85546875" style="2" bestFit="1" customWidth="1"/>
    <col min="5894" max="5894" width="9.140625" style="2"/>
    <col min="5895" max="5895" width="19.85546875" style="2" customWidth="1"/>
    <col min="5896" max="5896" width="14.7109375" style="2" customWidth="1"/>
    <col min="5897" max="5897" width="34" style="2" bestFit="1" customWidth="1"/>
    <col min="5898" max="5898" width="4" style="2" customWidth="1"/>
    <col min="5899" max="5899" width="14.140625" style="2" customWidth="1"/>
    <col min="5900" max="5900" width="11.42578125" style="2" customWidth="1"/>
    <col min="5901" max="5903" width="9.28515625" style="2" bestFit="1" customWidth="1"/>
    <col min="5904" max="6144" width="9.140625" style="2"/>
    <col min="6145" max="6145" width="10.140625" style="2" bestFit="1" customWidth="1"/>
    <col min="6146" max="6147" width="9.140625" style="2"/>
    <col min="6148" max="6148" width="20.85546875" style="2" customWidth="1"/>
    <col min="6149" max="6149" width="12.85546875" style="2" bestFit="1" customWidth="1"/>
    <col min="6150" max="6150" width="9.140625" style="2"/>
    <col min="6151" max="6151" width="19.85546875" style="2" customWidth="1"/>
    <col min="6152" max="6152" width="14.7109375" style="2" customWidth="1"/>
    <col min="6153" max="6153" width="34" style="2" bestFit="1" customWidth="1"/>
    <col min="6154" max="6154" width="4" style="2" customWidth="1"/>
    <col min="6155" max="6155" width="14.140625" style="2" customWidth="1"/>
    <col min="6156" max="6156" width="11.42578125" style="2" customWidth="1"/>
    <col min="6157" max="6159" width="9.28515625" style="2" bestFit="1" customWidth="1"/>
    <col min="6160" max="6400" width="9.140625" style="2"/>
    <col min="6401" max="6401" width="10.140625" style="2" bestFit="1" customWidth="1"/>
    <col min="6402" max="6403" width="9.140625" style="2"/>
    <col min="6404" max="6404" width="20.85546875" style="2" customWidth="1"/>
    <col min="6405" max="6405" width="12.85546875" style="2" bestFit="1" customWidth="1"/>
    <col min="6406" max="6406" width="9.140625" style="2"/>
    <col min="6407" max="6407" width="19.85546875" style="2" customWidth="1"/>
    <col min="6408" max="6408" width="14.7109375" style="2" customWidth="1"/>
    <col min="6409" max="6409" width="34" style="2" bestFit="1" customWidth="1"/>
    <col min="6410" max="6410" width="4" style="2" customWidth="1"/>
    <col min="6411" max="6411" width="14.140625" style="2" customWidth="1"/>
    <col min="6412" max="6412" width="11.42578125" style="2" customWidth="1"/>
    <col min="6413" max="6415" width="9.28515625" style="2" bestFit="1" customWidth="1"/>
    <col min="6416" max="6656" width="9.140625" style="2"/>
    <col min="6657" max="6657" width="10.140625" style="2" bestFit="1" customWidth="1"/>
    <col min="6658" max="6659" width="9.140625" style="2"/>
    <col min="6660" max="6660" width="20.85546875" style="2" customWidth="1"/>
    <col min="6661" max="6661" width="12.85546875" style="2" bestFit="1" customWidth="1"/>
    <col min="6662" max="6662" width="9.140625" style="2"/>
    <col min="6663" max="6663" width="19.85546875" style="2" customWidth="1"/>
    <col min="6664" max="6664" width="14.7109375" style="2" customWidth="1"/>
    <col min="6665" max="6665" width="34" style="2" bestFit="1" customWidth="1"/>
    <col min="6666" max="6666" width="4" style="2" customWidth="1"/>
    <col min="6667" max="6667" width="14.140625" style="2" customWidth="1"/>
    <col min="6668" max="6668" width="11.42578125" style="2" customWidth="1"/>
    <col min="6669" max="6671" width="9.28515625" style="2" bestFit="1" customWidth="1"/>
    <col min="6672" max="6912" width="9.140625" style="2"/>
    <col min="6913" max="6913" width="10.140625" style="2" bestFit="1" customWidth="1"/>
    <col min="6914" max="6915" width="9.140625" style="2"/>
    <col min="6916" max="6916" width="20.85546875" style="2" customWidth="1"/>
    <col min="6917" max="6917" width="12.85546875" style="2" bestFit="1" customWidth="1"/>
    <col min="6918" max="6918" width="9.140625" style="2"/>
    <col min="6919" max="6919" width="19.85546875" style="2" customWidth="1"/>
    <col min="6920" max="6920" width="14.7109375" style="2" customWidth="1"/>
    <col min="6921" max="6921" width="34" style="2" bestFit="1" customWidth="1"/>
    <col min="6922" max="6922" width="4" style="2" customWidth="1"/>
    <col min="6923" max="6923" width="14.140625" style="2" customWidth="1"/>
    <col min="6924" max="6924" width="11.42578125" style="2" customWidth="1"/>
    <col min="6925" max="6927" width="9.28515625" style="2" bestFit="1" customWidth="1"/>
    <col min="6928" max="7168" width="9.140625" style="2"/>
    <col min="7169" max="7169" width="10.140625" style="2" bestFit="1" customWidth="1"/>
    <col min="7170" max="7171" width="9.140625" style="2"/>
    <col min="7172" max="7172" width="20.85546875" style="2" customWidth="1"/>
    <col min="7173" max="7173" width="12.85546875" style="2" bestFit="1" customWidth="1"/>
    <col min="7174" max="7174" width="9.140625" style="2"/>
    <col min="7175" max="7175" width="19.85546875" style="2" customWidth="1"/>
    <col min="7176" max="7176" width="14.7109375" style="2" customWidth="1"/>
    <col min="7177" max="7177" width="34" style="2" bestFit="1" customWidth="1"/>
    <col min="7178" max="7178" width="4" style="2" customWidth="1"/>
    <col min="7179" max="7179" width="14.140625" style="2" customWidth="1"/>
    <col min="7180" max="7180" width="11.42578125" style="2" customWidth="1"/>
    <col min="7181" max="7183" width="9.28515625" style="2" bestFit="1" customWidth="1"/>
    <col min="7184" max="7424" width="9.140625" style="2"/>
    <col min="7425" max="7425" width="10.140625" style="2" bestFit="1" customWidth="1"/>
    <col min="7426" max="7427" width="9.140625" style="2"/>
    <col min="7428" max="7428" width="20.85546875" style="2" customWidth="1"/>
    <col min="7429" max="7429" width="12.85546875" style="2" bestFit="1" customWidth="1"/>
    <col min="7430" max="7430" width="9.140625" style="2"/>
    <col min="7431" max="7431" width="19.85546875" style="2" customWidth="1"/>
    <col min="7432" max="7432" width="14.7109375" style="2" customWidth="1"/>
    <col min="7433" max="7433" width="34" style="2" bestFit="1" customWidth="1"/>
    <col min="7434" max="7434" width="4" style="2" customWidth="1"/>
    <col min="7435" max="7435" width="14.140625" style="2" customWidth="1"/>
    <col min="7436" max="7436" width="11.42578125" style="2" customWidth="1"/>
    <col min="7437" max="7439" width="9.28515625" style="2" bestFit="1" customWidth="1"/>
    <col min="7440" max="7680" width="9.140625" style="2"/>
    <col min="7681" max="7681" width="10.140625" style="2" bestFit="1" customWidth="1"/>
    <col min="7682" max="7683" width="9.140625" style="2"/>
    <col min="7684" max="7684" width="20.85546875" style="2" customWidth="1"/>
    <col min="7685" max="7685" width="12.85546875" style="2" bestFit="1" customWidth="1"/>
    <col min="7686" max="7686" width="9.140625" style="2"/>
    <col min="7687" max="7687" width="19.85546875" style="2" customWidth="1"/>
    <col min="7688" max="7688" width="14.7109375" style="2" customWidth="1"/>
    <col min="7689" max="7689" width="34" style="2" bestFit="1" customWidth="1"/>
    <col min="7690" max="7690" width="4" style="2" customWidth="1"/>
    <col min="7691" max="7691" width="14.140625" style="2" customWidth="1"/>
    <col min="7692" max="7692" width="11.42578125" style="2" customWidth="1"/>
    <col min="7693" max="7695" width="9.28515625" style="2" bestFit="1" customWidth="1"/>
    <col min="7696" max="7936" width="9.140625" style="2"/>
    <col min="7937" max="7937" width="10.140625" style="2" bestFit="1" customWidth="1"/>
    <col min="7938" max="7939" width="9.140625" style="2"/>
    <col min="7940" max="7940" width="20.85546875" style="2" customWidth="1"/>
    <col min="7941" max="7941" width="12.85546875" style="2" bestFit="1" customWidth="1"/>
    <col min="7942" max="7942" width="9.140625" style="2"/>
    <col min="7943" max="7943" width="19.85546875" style="2" customWidth="1"/>
    <col min="7944" max="7944" width="14.7109375" style="2" customWidth="1"/>
    <col min="7945" max="7945" width="34" style="2" bestFit="1" customWidth="1"/>
    <col min="7946" max="7946" width="4" style="2" customWidth="1"/>
    <col min="7947" max="7947" width="14.140625" style="2" customWidth="1"/>
    <col min="7948" max="7948" width="11.42578125" style="2" customWidth="1"/>
    <col min="7949" max="7951" width="9.28515625" style="2" bestFit="1" customWidth="1"/>
    <col min="7952" max="8192" width="9.140625" style="2"/>
    <col min="8193" max="8193" width="10.140625" style="2" bestFit="1" customWidth="1"/>
    <col min="8194" max="8195" width="9.140625" style="2"/>
    <col min="8196" max="8196" width="20.85546875" style="2" customWidth="1"/>
    <col min="8197" max="8197" width="12.85546875" style="2" bestFit="1" customWidth="1"/>
    <col min="8198" max="8198" width="9.140625" style="2"/>
    <col min="8199" max="8199" width="19.85546875" style="2" customWidth="1"/>
    <col min="8200" max="8200" width="14.7109375" style="2" customWidth="1"/>
    <col min="8201" max="8201" width="34" style="2" bestFit="1" customWidth="1"/>
    <col min="8202" max="8202" width="4" style="2" customWidth="1"/>
    <col min="8203" max="8203" width="14.140625" style="2" customWidth="1"/>
    <col min="8204" max="8204" width="11.42578125" style="2" customWidth="1"/>
    <col min="8205" max="8207" width="9.28515625" style="2" bestFit="1" customWidth="1"/>
    <col min="8208" max="8448" width="9.140625" style="2"/>
    <col min="8449" max="8449" width="10.140625" style="2" bestFit="1" customWidth="1"/>
    <col min="8450" max="8451" width="9.140625" style="2"/>
    <col min="8452" max="8452" width="20.85546875" style="2" customWidth="1"/>
    <col min="8453" max="8453" width="12.85546875" style="2" bestFit="1" customWidth="1"/>
    <col min="8454" max="8454" width="9.140625" style="2"/>
    <col min="8455" max="8455" width="19.85546875" style="2" customWidth="1"/>
    <col min="8456" max="8456" width="14.7109375" style="2" customWidth="1"/>
    <col min="8457" max="8457" width="34" style="2" bestFit="1" customWidth="1"/>
    <col min="8458" max="8458" width="4" style="2" customWidth="1"/>
    <col min="8459" max="8459" width="14.140625" style="2" customWidth="1"/>
    <col min="8460" max="8460" width="11.42578125" style="2" customWidth="1"/>
    <col min="8461" max="8463" width="9.28515625" style="2" bestFit="1" customWidth="1"/>
    <col min="8464" max="8704" width="9.140625" style="2"/>
    <col min="8705" max="8705" width="10.140625" style="2" bestFit="1" customWidth="1"/>
    <col min="8706" max="8707" width="9.140625" style="2"/>
    <col min="8708" max="8708" width="20.85546875" style="2" customWidth="1"/>
    <col min="8709" max="8709" width="12.85546875" style="2" bestFit="1" customWidth="1"/>
    <col min="8710" max="8710" width="9.140625" style="2"/>
    <col min="8711" max="8711" width="19.85546875" style="2" customWidth="1"/>
    <col min="8712" max="8712" width="14.7109375" style="2" customWidth="1"/>
    <col min="8713" max="8713" width="34" style="2" bestFit="1" customWidth="1"/>
    <col min="8714" max="8714" width="4" style="2" customWidth="1"/>
    <col min="8715" max="8715" width="14.140625" style="2" customWidth="1"/>
    <col min="8716" max="8716" width="11.42578125" style="2" customWidth="1"/>
    <col min="8717" max="8719" width="9.28515625" style="2" bestFit="1" customWidth="1"/>
    <col min="8720" max="8960" width="9.140625" style="2"/>
    <col min="8961" max="8961" width="10.140625" style="2" bestFit="1" customWidth="1"/>
    <col min="8962" max="8963" width="9.140625" style="2"/>
    <col min="8964" max="8964" width="20.85546875" style="2" customWidth="1"/>
    <col min="8965" max="8965" width="12.85546875" style="2" bestFit="1" customWidth="1"/>
    <col min="8966" max="8966" width="9.140625" style="2"/>
    <col min="8967" max="8967" width="19.85546875" style="2" customWidth="1"/>
    <col min="8968" max="8968" width="14.7109375" style="2" customWidth="1"/>
    <col min="8969" max="8969" width="34" style="2" bestFit="1" customWidth="1"/>
    <col min="8970" max="8970" width="4" style="2" customWidth="1"/>
    <col min="8971" max="8971" width="14.140625" style="2" customWidth="1"/>
    <col min="8972" max="8972" width="11.42578125" style="2" customWidth="1"/>
    <col min="8973" max="8975" width="9.28515625" style="2" bestFit="1" customWidth="1"/>
    <col min="8976" max="9216" width="9.140625" style="2"/>
    <col min="9217" max="9217" width="10.140625" style="2" bestFit="1" customWidth="1"/>
    <col min="9218" max="9219" width="9.140625" style="2"/>
    <col min="9220" max="9220" width="20.85546875" style="2" customWidth="1"/>
    <col min="9221" max="9221" width="12.85546875" style="2" bestFit="1" customWidth="1"/>
    <col min="9222" max="9222" width="9.140625" style="2"/>
    <col min="9223" max="9223" width="19.85546875" style="2" customWidth="1"/>
    <col min="9224" max="9224" width="14.7109375" style="2" customWidth="1"/>
    <col min="9225" max="9225" width="34" style="2" bestFit="1" customWidth="1"/>
    <col min="9226" max="9226" width="4" style="2" customWidth="1"/>
    <col min="9227" max="9227" width="14.140625" style="2" customWidth="1"/>
    <col min="9228" max="9228" width="11.42578125" style="2" customWidth="1"/>
    <col min="9229" max="9231" width="9.28515625" style="2" bestFit="1" customWidth="1"/>
    <col min="9232" max="9472" width="9.140625" style="2"/>
    <col min="9473" max="9473" width="10.140625" style="2" bestFit="1" customWidth="1"/>
    <col min="9474" max="9475" width="9.140625" style="2"/>
    <col min="9476" max="9476" width="20.85546875" style="2" customWidth="1"/>
    <col min="9477" max="9477" width="12.85546875" style="2" bestFit="1" customWidth="1"/>
    <col min="9478" max="9478" width="9.140625" style="2"/>
    <col min="9479" max="9479" width="19.85546875" style="2" customWidth="1"/>
    <col min="9480" max="9480" width="14.7109375" style="2" customWidth="1"/>
    <col min="9481" max="9481" width="34" style="2" bestFit="1" customWidth="1"/>
    <col min="9482" max="9482" width="4" style="2" customWidth="1"/>
    <col min="9483" max="9483" width="14.140625" style="2" customWidth="1"/>
    <col min="9484" max="9484" width="11.42578125" style="2" customWidth="1"/>
    <col min="9485" max="9487" width="9.28515625" style="2" bestFit="1" customWidth="1"/>
    <col min="9488" max="9728" width="9.140625" style="2"/>
    <col min="9729" max="9729" width="10.140625" style="2" bestFit="1" customWidth="1"/>
    <col min="9730" max="9731" width="9.140625" style="2"/>
    <col min="9732" max="9732" width="20.85546875" style="2" customWidth="1"/>
    <col min="9733" max="9733" width="12.85546875" style="2" bestFit="1" customWidth="1"/>
    <col min="9734" max="9734" width="9.140625" style="2"/>
    <col min="9735" max="9735" width="19.85546875" style="2" customWidth="1"/>
    <col min="9736" max="9736" width="14.7109375" style="2" customWidth="1"/>
    <col min="9737" max="9737" width="34" style="2" bestFit="1" customWidth="1"/>
    <col min="9738" max="9738" width="4" style="2" customWidth="1"/>
    <col min="9739" max="9739" width="14.140625" style="2" customWidth="1"/>
    <col min="9740" max="9740" width="11.42578125" style="2" customWidth="1"/>
    <col min="9741" max="9743" width="9.28515625" style="2" bestFit="1" customWidth="1"/>
    <col min="9744" max="9984" width="9.140625" style="2"/>
    <col min="9985" max="9985" width="10.140625" style="2" bestFit="1" customWidth="1"/>
    <col min="9986" max="9987" width="9.140625" style="2"/>
    <col min="9988" max="9988" width="20.85546875" style="2" customWidth="1"/>
    <col min="9989" max="9989" width="12.85546875" style="2" bestFit="1" customWidth="1"/>
    <col min="9990" max="9990" width="9.140625" style="2"/>
    <col min="9991" max="9991" width="19.85546875" style="2" customWidth="1"/>
    <col min="9992" max="9992" width="14.7109375" style="2" customWidth="1"/>
    <col min="9993" max="9993" width="34" style="2" bestFit="1" customWidth="1"/>
    <col min="9994" max="9994" width="4" style="2" customWidth="1"/>
    <col min="9995" max="9995" width="14.140625" style="2" customWidth="1"/>
    <col min="9996" max="9996" width="11.42578125" style="2" customWidth="1"/>
    <col min="9997" max="9999" width="9.28515625" style="2" bestFit="1" customWidth="1"/>
    <col min="10000" max="10240" width="9.140625" style="2"/>
    <col min="10241" max="10241" width="10.140625" style="2" bestFit="1" customWidth="1"/>
    <col min="10242" max="10243" width="9.140625" style="2"/>
    <col min="10244" max="10244" width="20.85546875" style="2" customWidth="1"/>
    <col min="10245" max="10245" width="12.85546875" style="2" bestFit="1" customWidth="1"/>
    <col min="10246" max="10246" width="9.140625" style="2"/>
    <col min="10247" max="10247" width="19.85546875" style="2" customWidth="1"/>
    <col min="10248" max="10248" width="14.7109375" style="2" customWidth="1"/>
    <col min="10249" max="10249" width="34" style="2" bestFit="1" customWidth="1"/>
    <col min="10250" max="10250" width="4" style="2" customWidth="1"/>
    <col min="10251" max="10251" width="14.140625" style="2" customWidth="1"/>
    <col min="10252" max="10252" width="11.42578125" style="2" customWidth="1"/>
    <col min="10253" max="10255" width="9.28515625" style="2" bestFit="1" customWidth="1"/>
    <col min="10256" max="10496" width="9.140625" style="2"/>
    <col min="10497" max="10497" width="10.140625" style="2" bestFit="1" customWidth="1"/>
    <col min="10498" max="10499" width="9.140625" style="2"/>
    <col min="10500" max="10500" width="20.85546875" style="2" customWidth="1"/>
    <col min="10501" max="10501" width="12.85546875" style="2" bestFit="1" customWidth="1"/>
    <col min="10502" max="10502" width="9.140625" style="2"/>
    <col min="10503" max="10503" width="19.85546875" style="2" customWidth="1"/>
    <col min="10504" max="10504" width="14.7109375" style="2" customWidth="1"/>
    <col min="10505" max="10505" width="34" style="2" bestFit="1" customWidth="1"/>
    <col min="10506" max="10506" width="4" style="2" customWidth="1"/>
    <col min="10507" max="10507" width="14.140625" style="2" customWidth="1"/>
    <col min="10508" max="10508" width="11.42578125" style="2" customWidth="1"/>
    <col min="10509" max="10511" width="9.28515625" style="2" bestFit="1" customWidth="1"/>
    <col min="10512" max="10752" width="9.140625" style="2"/>
    <col min="10753" max="10753" width="10.140625" style="2" bestFit="1" customWidth="1"/>
    <col min="10754" max="10755" width="9.140625" style="2"/>
    <col min="10756" max="10756" width="20.85546875" style="2" customWidth="1"/>
    <col min="10757" max="10757" width="12.85546875" style="2" bestFit="1" customWidth="1"/>
    <col min="10758" max="10758" width="9.140625" style="2"/>
    <col min="10759" max="10759" width="19.85546875" style="2" customWidth="1"/>
    <col min="10760" max="10760" width="14.7109375" style="2" customWidth="1"/>
    <col min="10761" max="10761" width="34" style="2" bestFit="1" customWidth="1"/>
    <col min="10762" max="10762" width="4" style="2" customWidth="1"/>
    <col min="10763" max="10763" width="14.140625" style="2" customWidth="1"/>
    <col min="10764" max="10764" width="11.42578125" style="2" customWidth="1"/>
    <col min="10765" max="10767" width="9.28515625" style="2" bestFit="1" customWidth="1"/>
    <col min="10768" max="11008" width="9.140625" style="2"/>
    <col min="11009" max="11009" width="10.140625" style="2" bestFit="1" customWidth="1"/>
    <col min="11010" max="11011" width="9.140625" style="2"/>
    <col min="11012" max="11012" width="20.85546875" style="2" customWidth="1"/>
    <col min="11013" max="11013" width="12.85546875" style="2" bestFit="1" customWidth="1"/>
    <col min="11014" max="11014" width="9.140625" style="2"/>
    <col min="11015" max="11015" width="19.85546875" style="2" customWidth="1"/>
    <col min="11016" max="11016" width="14.7109375" style="2" customWidth="1"/>
    <col min="11017" max="11017" width="34" style="2" bestFit="1" customWidth="1"/>
    <col min="11018" max="11018" width="4" style="2" customWidth="1"/>
    <col min="11019" max="11019" width="14.140625" style="2" customWidth="1"/>
    <col min="11020" max="11020" width="11.42578125" style="2" customWidth="1"/>
    <col min="11021" max="11023" width="9.28515625" style="2" bestFit="1" customWidth="1"/>
    <col min="11024" max="11264" width="9.140625" style="2"/>
    <col min="11265" max="11265" width="10.140625" style="2" bestFit="1" customWidth="1"/>
    <col min="11266" max="11267" width="9.140625" style="2"/>
    <col min="11268" max="11268" width="20.85546875" style="2" customWidth="1"/>
    <col min="11269" max="11269" width="12.85546875" style="2" bestFit="1" customWidth="1"/>
    <col min="11270" max="11270" width="9.140625" style="2"/>
    <col min="11271" max="11271" width="19.85546875" style="2" customWidth="1"/>
    <col min="11272" max="11272" width="14.7109375" style="2" customWidth="1"/>
    <col min="11273" max="11273" width="34" style="2" bestFit="1" customWidth="1"/>
    <col min="11274" max="11274" width="4" style="2" customWidth="1"/>
    <col min="11275" max="11275" width="14.140625" style="2" customWidth="1"/>
    <col min="11276" max="11276" width="11.42578125" style="2" customWidth="1"/>
    <col min="11277" max="11279" width="9.28515625" style="2" bestFit="1" customWidth="1"/>
    <col min="11280" max="11520" width="9.140625" style="2"/>
    <col min="11521" max="11521" width="10.140625" style="2" bestFit="1" customWidth="1"/>
    <col min="11522" max="11523" width="9.140625" style="2"/>
    <col min="11524" max="11524" width="20.85546875" style="2" customWidth="1"/>
    <col min="11525" max="11525" width="12.85546875" style="2" bestFit="1" customWidth="1"/>
    <col min="11526" max="11526" width="9.140625" style="2"/>
    <col min="11527" max="11527" width="19.85546875" style="2" customWidth="1"/>
    <col min="11528" max="11528" width="14.7109375" style="2" customWidth="1"/>
    <col min="11529" max="11529" width="34" style="2" bestFit="1" customWidth="1"/>
    <col min="11530" max="11530" width="4" style="2" customWidth="1"/>
    <col min="11531" max="11531" width="14.140625" style="2" customWidth="1"/>
    <col min="11532" max="11532" width="11.42578125" style="2" customWidth="1"/>
    <col min="11533" max="11535" width="9.28515625" style="2" bestFit="1" customWidth="1"/>
    <col min="11536" max="11776" width="9.140625" style="2"/>
    <col min="11777" max="11777" width="10.140625" style="2" bestFit="1" customWidth="1"/>
    <col min="11778" max="11779" width="9.140625" style="2"/>
    <col min="11780" max="11780" width="20.85546875" style="2" customWidth="1"/>
    <col min="11781" max="11781" width="12.85546875" style="2" bestFit="1" customWidth="1"/>
    <col min="11782" max="11782" width="9.140625" style="2"/>
    <col min="11783" max="11783" width="19.85546875" style="2" customWidth="1"/>
    <col min="11784" max="11784" width="14.7109375" style="2" customWidth="1"/>
    <col min="11785" max="11785" width="34" style="2" bestFit="1" customWidth="1"/>
    <col min="11786" max="11786" width="4" style="2" customWidth="1"/>
    <col min="11787" max="11787" width="14.140625" style="2" customWidth="1"/>
    <col min="11788" max="11788" width="11.42578125" style="2" customWidth="1"/>
    <col min="11789" max="11791" width="9.28515625" style="2" bestFit="1" customWidth="1"/>
    <col min="11792" max="12032" width="9.140625" style="2"/>
    <col min="12033" max="12033" width="10.140625" style="2" bestFit="1" customWidth="1"/>
    <col min="12034" max="12035" width="9.140625" style="2"/>
    <col min="12036" max="12036" width="20.85546875" style="2" customWidth="1"/>
    <col min="12037" max="12037" width="12.85546875" style="2" bestFit="1" customWidth="1"/>
    <col min="12038" max="12038" width="9.140625" style="2"/>
    <col min="12039" max="12039" width="19.85546875" style="2" customWidth="1"/>
    <col min="12040" max="12040" width="14.7109375" style="2" customWidth="1"/>
    <col min="12041" max="12041" width="34" style="2" bestFit="1" customWidth="1"/>
    <col min="12042" max="12042" width="4" style="2" customWidth="1"/>
    <col min="12043" max="12043" width="14.140625" style="2" customWidth="1"/>
    <col min="12044" max="12044" width="11.42578125" style="2" customWidth="1"/>
    <col min="12045" max="12047" width="9.28515625" style="2" bestFit="1" customWidth="1"/>
    <col min="12048" max="12288" width="9.140625" style="2"/>
    <col min="12289" max="12289" width="10.140625" style="2" bestFit="1" customWidth="1"/>
    <col min="12290" max="12291" width="9.140625" style="2"/>
    <col min="12292" max="12292" width="20.85546875" style="2" customWidth="1"/>
    <col min="12293" max="12293" width="12.85546875" style="2" bestFit="1" customWidth="1"/>
    <col min="12294" max="12294" width="9.140625" style="2"/>
    <col min="12295" max="12295" width="19.85546875" style="2" customWidth="1"/>
    <col min="12296" max="12296" width="14.7109375" style="2" customWidth="1"/>
    <col min="12297" max="12297" width="34" style="2" bestFit="1" customWidth="1"/>
    <col min="12298" max="12298" width="4" style="2" customWidth="1"/>
    <col min="12299" max="12299" width="14.140625" style="2" customWidth="1"/>
    <col min="12300" max="12300" width="11.42578125" style="2" customWidth="1"/>
    <col min="12301" max="12303" width="9.28515625" style="2" bestFit="1" customWidth="1"/>
    <col min="12304" max="12544" width="9.140625" style="2"/>
    <col min="12545" max="12545" width="10.140625" style="2" bestFit="1" customWidth="1"/>
    <col min="12546" max="12547" width="9.140625" style="2"/>
    <col min="12548" max="12548" width="20.85546875" style="2" customWidth="1"/>
    <col min="12549" max="12549" width="12.85546875" style="2" bestFit="1" customWidth="1"/>
    <col min="12550" max="12550" width="9.140625" style="2"/>
    <col min="12551" max="12551" width="19.85546875" style="2" customWidth="1"/>
    <col min="12552" max="12552" width="14.7109375" style="2" customWidth="1"/>
    <col min="12553" max="12553" width="34" style="2" bestFit="1" customWidth="1"/>
    <col min="12554" max="12554" width="4" style="2" customWidth="1"/>
    <col min="12555" max="12555" width="14.140625" style="2" customWidth="1"/>
    <col min="12556" max="12556" width="11.42578125" style="2" customWidth="1"/>
    <col min="12557" max="12559" width="9.28515625" style="2" bestFit="1" customWidth="1"/>
    <col min="12560" max="12800" width="9.140625" style="2"/>
    <col min="12801" max="12801" width="10.140625" style="2" bestFit="1" customWidth="1"/>
    <col min="12802" max="12803" width="9.140625" style="2"/>
    <col min="12804" max="12804" width="20.85546875" style="2" customWidth="1"/>
    <col min="12805" max="12805" width="12.85546875" style="2" bestFit="1" customWidth="1"/>
    <col min="12806" max="12806" width="9.140625" style="2"/>
    <col min="12807" max="12807" width="19.85546875" style="2" customWidth="1"/>
    <col min="12808" max="12808" width="14.7109375" style="2" customWidth="1"/>
    <col min="12809" max="12809" width="34" style="2" bestFit="1" customWidth="1"/>
    <col min="12810" max="12810" width="4" style="2" customWidth="1"/>
    <col min="12811" max="12811" width="14.140625" style="2" customWidth="1"/>
    <col min="12812" max="12812" width="11.42578125" style="2" customWidth="1"/>
    <col min="12813" max="12815" width="9.28515625" style="2" bestFit="1" customWidth="1"/>
    <col min="12816" max="13056" width="9.140625" style="2"/>
    <col min="13057" max="13057" width="10.140625" style="2" bestFit="1" customWidth="1"/>
    <col min="13058" max="13059" width="9.140625" style="2"/>
    <col min="13060" max="13060" width="20.85546875" style="2" customWidth="1"/>
    <col min="13061" max="13061" width="12.85546875" style="2" bestFit="1" customWidth="1"/>
    <col min="13062" max="13062" width="9.140625" style="2"/>
    <col min="13063" max="13063" width="19.85546875" style="2" customWidth="1"/>
    <col min="13064" max="13064" width="14.7109375" style="2" customWidth="1"/>
    <col min="13065" max="13065" width="34" style="2" bestFit="1" customWidth="1"/>
    <col min="13066" max="13066" width="4" style="2" customWidth="1"/>
    <col min="13067" max="13067" width="14.140625" style="2" customWidth="1"/>
    <col min="13068" max="13068" width="11.42578125" style="2" customWidth="1"/>
    <col min="13069" max="13071" width="9.28515625" style="2" bestFit="1" customWidth="1"/>
    <col min="13072" max="13312" width="9.140625" style="2"/>
    <col min="13313" max="13313" width="10.140625" style="2" bestFit="1" customWidth="1"/>
    <col min="13314" max="13315" width="9.140625" style="2"/>
    <col min="13316" max="13316" width="20.85546875" style="2" customWidth="1"/>
    <col min="13317" max="13317" width="12.85546875" style="2" bestFit="1" customWidth="1"/>
    <col min="13318" max="13318" width="9.140625" style="2"/>
    <col min="13319" max="13319" width="19.85546875" style="2" customWidth="1"/>
    <col min="13320" max="13320" width="14.7109375" style="2" customWidth="1"/>
    <col min="13321" max="13321" width="34" style="2" bestFit="1" customWidth="1"/>
    <col min="13322" max="13322" width="4" style="2" customWidth="1"/>
    <col min="13323" max="13323" width="14.140625" style="2" customWidth="1"/>
    <col min="13324" max="13324" width="11.42578125" style="2" customWidth="1"/>
    <col min="13325" max="13327" width="9.28515625" style="2" bestFit="1" customWidth="1"/>
    <col min="13328" max="13568" width="9.140625" style="2"/>
    <col min="13569" max="13569" width="10.140625" style="2" bestFit="1" customWidth="1"/>
    <col min="13570" max="13571" width="9.140625" style="2"/>
    <col min="13572" max="13572" width="20.85546875" style="2" customWidth="1"/>
    <col min="13573" max="13573" width="12.85546875" style="2" bestFit="1" customWidth="1"/>
    <col min="13574" max="13574" width="9.140625" style="2"/>
    <col min="13575" max="13575" width="19.85546875" style="2" customWidth="1"/>
    <col min="13576" max="13576" width="14.7109375" style="2" customWidth="1"/>
    <col min="13577" max="13577" width="34" style="2" bestFit="1" customWidth="1"/>
    <col min="13578" max="13578" width="4" style="2" customWidth="1"/>
    <col min="13579" max="13579" width="14.140625" style="2" customWidth="1"/>
    <col min="13580" max="13580" width="11.42578125" style="2" customWidth="1"/>
    <col min="13581" max="13583" width="9.28515625" style="2" bestFit="1" customWidth="1"/>
    <col min="13584" max="13824" width="9.140625" style="2"/>
    <col min="13825" max="13825" width="10.140625" style="2" bestFit="1" customWidth="1"/>
    <col min="13826" max="13827" width="9.140625" style="2"/>
    <col min="13828" max="13828" width="20.85546875" style="2" customWidth="1"/>
    <col min="13829" max="13829" width="12.85546875" style="2" bestFit="1" customWidth="1"/>
    <col min="13830" max="13830" width="9.140625" style="2"/>
    <col min="13831" max="13831" width="19.85546875" style="2" customWidth="1"/>
    <col min="13832" max="13832" width="14.7109375" style="2" customWidth="1"/>
    <col min="13833" max="13833" width="34" style="2" bestFit="1" customWidth="1"/>
    <col min="13834" max="13834" width="4" style="2" customWidth="1"/>
    <col min="13835" max="13835" width="14.140625" style="2" customWidth="1"/>
    <col min="13836" max="13836" width="11.42578125" style="2" customWidth="1"/>
    <col min="13837" max="13839" width="9.28515625" style="2" bestFit="1" customWidth="1"/>
    <col min="13840" max="14080" width="9.140625" style="2"/>
    <col min="14081" max="14081" width="10.140625" style="2" bestFit="1" customWidth="1"/>
    <col min="14082" max="14083" width="9.140625" style="2"/>
    <col min="14084" max="14084" width="20.85546875" style="2" customWidth="1"/>
    <col min="14085" max="14085" width="12.85546875" style="2" bestFit="1" customWidth="1"/>
    <col min="14086" max="14086" width="9.140625" style="2"/>
    <col min="14087" max="14087" width="19.85546875" style="2" customWidth="1"/>
    <col min="14088" max="14088" width="14.7109375" style="2" customWidth="1"/>
    <col min="14089" max="14089" width="34" style="2" bestFit="1" customWidth="1"/>
    <col min="14090" max="14090" width="4" style="2" customWidth="1"/>
    <col min="14091" max="14091" width="14.140625" style="2" customWidth="1"/>
    <col min="14092" max="14092" width="11.42578125" style="2" customWidth="1"/>
    <col min="14093" max="14095" width="9.28515625" style="2" bestFit="1" customWidth="1"/>
    <col min="14096" max="14336" width="9.140625" style="2"/>
    <col min="14337" max="14337" width="10.140625" style="2" bestFit="1" customWidth="1"/>
    <col min="14338" max="14339" width="9.140625" style="2"/>
    <col min="14340" max="14340" width="20.85546875" style="2" customWidth="1"/>
    <col min="14341" max="14341" width="12.85546875" style="2" bestFit="1" customWidth="1"/>
    <col min="14342" max="14342" width="9.140625" style="2"/>
    <col min="14343" max="14343" width="19.85546875" style="2" customWidth="1"/>
    <col min="14344" max="14344" width="14.7109375" style="2" customWidth="1"/>
    <col min="14345" max="14345" width="34" style="2" bestFit="1" customWidth="1"/>
    <col min="14346" max="14346" width="4" style="2" customWidth="1"/>
    <col min="14347" max="14347" width="14.140625" style="2" customWidth="1"/>
    <col min="14348" max="14348" width="11.42578125" style="2" customWidth="1"/>
    <col min="14349" max="14351" width="9.28515625" style="2" bestFit="1" customWidth="1"/>
    <col min="14352" max="14592" width="9.140625" style="2"/>
    <col min="14593" max="14593" width="10.140625" style="2" bestFit="1" customWidth="1"/>
    <col min="14594" max="14595" width="9.140625" style="2"/>
    <col min="14596" max="14596" width="20.85546875" style="2" customWidth="1"/>
    <col min="14597" max="14597" width="12.85546875" style="2" bestFit="1" customWidth="1"/>
    <col min="14598" max="14598" width="9.140625" style="2"/>
    <col min="14599" max="14599" width="19.85546875" style="2" customWidth="1"/>
    <col min="14600" max="14600" width="14.7109375" style="2" customWidth="1"/>
    <col min="14601" max="14601" width="34" style="2" bestFit="1" customWidth="1"/>
    <col min="14602" max="14602" width="4" style="2" customWidth="1"/>
    <col min="14603" max="14603" width="14.140625" style="2" customWidth="1"/>
    <col min="14604" max="14604" width="11.42578125" style="2" customWidth="1"/>
    <col min="14605" max="14607" width="9.28515625" style="2" bestFit="1" customWidth="1"/>
    <col min="14608" max="14848" width="9.140625" style="2"/>
    <col min="14849" max="14849" width="10.140625" style="2" bestFit="1" customWidth="1"/>
    <col min="14850" max="14851" width="9.140625" style="2"/>
    <col min="14852" max="14852" width="20.85546875" style="2" customWidth="1"/>
    <col min="14853" max="14853" width="12.85546875" style="2" bestFit="1" customWidth="1"/>
    <col min="14854" max="14854" width="9.140625" style="2"/>
    <col min="14855" max="14855" width="19.85546875" style="2" customWidth="1"/>
    <col min="14856" max="14856" width="14.7109375" style="2" customWidth="1"/>
    <col min="14857" max="14857" width="34" style="2" bestFit="1" customWidth="1"/>
    <col min="14858" max="14858" width="4" style="2" customWidth="1"/>
    <col min="14859" max="14859" width="14.140625" style="2" customWidth="1"/>
    <col min="14860" max="14860" width="11.42578125" style="2" customWidth="1"/>
    <col min="14861" max="14863" width="9.28515625" style="2" bestFit="1" customWidth="1"/>
    <col min="14864" max="15104" width="9.140625" style="2"/>
    <col min="15105" max="15105" width="10.140625" style="2" bestFit="1" customWidth="1"/>
    <col min="15106" max="15107" width="9.140625" style="2"/>
    <col min="15108" max="15108" width="20.85546875" style="2" customWidth="1"/>
    <col min="15109" max="15109" width="12.85546875" style="2" bestFit="1" customWidth="1"/>
    <col min="15110" max="15110" width="9.140625" style="2"/>
    <col min="15111" max="15111" width="19.85546875" style="2" customWidth="1"/>
    <col min="15112" max="15112" width="14.7109375" style="2" customWidth="1"/>
    <col min="15113" max="15113" width="34" style="2" bestFit="1" customWidth="1"/>
    <col min="15114" max="15114" width="4" style="2" customWidth="1"/>
    <col min="15115" max="15115" width="14.140625" style="2" customWidth="1"/>
    <col min="15116" max="15116" width="11.42578125" style="2" customWidth="1"/>
    <col min="15117" max="15119" width="9.28515625" style="2" bestFit="1" customWidth="1"/>
    <col min="15120" max="15360" width="9.140625" style="2"/>
    <col min="15361" max="15361" width="10.140625" style="2" bestFit="1" customWidth="1"/>
    <col min="15362" max="15363" width="9.140625" style="2"/>
    <col min="15364" max="15364" width="20.85546875" style="2" customWidth="1"/>
    <col min="15365" max="15365" width="12.85546875" style="2" bestFit="1" customWidth="1"/>
    <col min="15366" max="15366" width="9.140625" style="2"/>
    <col min="15367" max="15367" width="19.85546875" style="2" customWidth="1"/>
    <col min="15368" max="15368" width="14.7109375" style="2" customWidth="1"/>
    <col min="15369" max="15369" width="34" style="2" bestFit="1" customWidth="1"/>
    <col min="15370" max="15370" width="4" style="2" customWidth="1"/>
    <col min="15371" max="15371" width="14.140625" style="2" customWidth="1"/>
    <col min="15372" max="15372" width="11.42578125" style="2" customWidth="1"/>
    <col min="15373" max="15375" width="9.28515625" style="2" bestFit="1" customWidth="1"/>
    <col min="15376" max="15616" width="9.140625" style="2"/>
    <col min="15617" max="15617" width="10.140625" style="2" bestFit="1" customWidth="1"/>
    <col min="15618" max="15619" width="9.140625" style="2"/>
    <col min="15620" max="15620" width="20.85546875" style="2" customWidth="1"/>
    <col min="15621" max="15621" width="12.85546875" style="2" bestFit="1" customWidth="1"/>
    <col min="15622" max="15622" width="9.140625" style="2"/>
    <col min="15623" max="15623" width="19.85546875" style="2" customWidth="1"/>
    <col min="15624" max="15624" width="14.7109375" style="2" customWidth="1"/>
    <col min="15625" max="15625" width="34" style="2" bestFit="1" customWidth="1"/>
    <col min="15626" max="15626" width="4" style="2" customWidth="1"/>
    <col min="15627" max="15627" width="14.140625" style="2" customWidth="1"/>
    <col min="15628" max="15628" width="11.42578125" style="2" customWidth="1"/>
    <col min="15629" max="15631" width="9.28515625" style="2" bestFit="1" customWidth="1"/>
    <col min="15632" max="15872" width="9.140625" style="2"/>
    <col min="15873" max="15873" width="10.140625" style="2" bestFit="1" customWidth="1"/>
    <col min="15874" max="15875" width="9.140625" style="2"/>
    <col min="15876" max="15876" width="20.85546875" style="2" customWidth="1"/>
    <col min="15877" max="15877" width="12.85546875" style="2" bestFit="1" customWidth="1"/>
    <col min="15878" max="15878" width="9.140625" style="2"/>
    <col min="15879" max="15879" width="19.85546875" style="2" customWidth="1"/>
    <col min="15880" max="15880" width="14.7109375" style="2" customWidth="1"/>
    <col min="15881" max="15881" width="34" style="2" bestFit="1" customWidth="1"/>
    <col min="15882" max="15882" width="4" style="2" customWidth="1"/>
    <col min="15883" max="15883" width="14.140625" style="2" customWidth="1"/>
    <col min="15884" max="15884" width="11.42578125" style="2" customWidth="1"/>
    <col min="15885" max="15887" width="9.28515625" style="2" bestFit="1" customWidth="1"/>
    <col min="15888" max="16128" width="9.140625" style="2"/>
    <col min="16129" max="16129" width="10.140625" style="2" bestFit="1" customWidth="1"/>
    <col min="16130" max="16131" width="9.140625" style="2"/>
    <col min="16132" max="16132" width="20.85546875" style="2" customWidth="1"/>
    <col min="16133" max="16133" width="12.85546875" style="2" bestFit="1" customWidth="1"/>
    <col min="16134" max="16134" width="9.140625" style="2"/>
    <col min="16135" max="16135" width="19.85546875" style="2" customWidth="1"/>
    <col min="16136" max="16136" width="14.7109375" style="2" customWidth="1"/>
    <col min="16137" max="16137" width="34" style="2" bestFit="1" customWidth="1"/>
    <col min="16138" max="16138" width="4" style="2" customWidth="1"/>
    <col min="16139" max="16139" width="14.140625" style="2" customWidth="1"/>
    <col min="16140" max="16140" width="11.42578125" style="2" customWidth="1"/>
    <col min="16141" max="16143" width="9.28515625" style="2" bestFit="1" customWidth="1"/>
    <col min="16144" max="16384" width="9.140625" style="2"/>
  </cols>
  <sheetData>
    <row r="1" spans="1:9" ht="33.75" customHeight="1" thickBot="1" x14ac:dyDescent="0.3">
      <c r="A1" s="360" t="s">
        <v>158</v>
      </c>
      <c r="B1" s="361"/>
      <c r="C1" s="361"/>
      <c r="D1" s="361"/>
      <c r="E1" s="361"/>
      <c r="F1" s="361"/>
      <c r="G1" s="361"/>
      <c r="H1" s="361"/>
      <c r="I1" s="362"/>
    </row>
    <row r="2" spans="1:9" ht="8.1" customHeight="1" thickBot="1" x14ac:dyDescent="0.3">
      <c r="A2" s="312"/>
      <c r="B2" s="313"/>
      <c r="C2" s="313"/>
      <c r="D2" s="313"/>
      <c r="E2" s="313"/>
      <c r="F2" s="313"/>
      <c r="G2" s="313"/>
      <c r="H2" s="313"/>
      <c r="I2" s="314"/>
    </row>
    <row r="3" spans="1:9" ht="16.5" thickBot="1" x14ac:dyDescent="0.3">
      <c r="A3" s="299" t="s">
        <v>40</v>
      </c>
      <c r="B3" s="300"/>
      <c r="C3" s="300"/>
      <c r="D3" s="300"/>
      <c r="E3" s="300"/>
      <c r="F3" s="300"/>
      <c r="G3" s="300"/>
      <c r="H3" s="300"/>
      <c r="I3" s="301"/>
    </row>
    <row r="4" spans="1:9" x14ac:dyDescent="0.25">
      <c r="A4" s="3" t="s">
        <v>2</v>
      </c>
      <c r="B4" s="337" t="s">
        <v>41</v>
      </c>
      <c r="C4" s="338"/>
      <c r="D4" s="338"/>
      <c r="E4" s="338"/>
      <c r="F4" s="338"/>
      <c r="G4" s="338"/>
      <c r="H4" s="339"/>
      <c r="I4" s="4"/>
    </row>
    <row r="5" spans="1:9" x14ac:dyDescent="0.25">
      <c r="A5" s="5" t="s">
        <v>3</v>
      </c>
      <c r="B5" s="302" t="s">
        <v>42</v>
      </c>
      <c r="C5" s="303"/>
      <c r="D5" s="303"/>
      <c r="E5" s="303"/>
      <c r="F5" s="303"/>
      <c r="G5" s="303"/>
      <c r="H5" s="304"/>
      <c r="I5" s="6" t="s">
        <v>155</v>
      </c>
    </row>
    <row r="6" spans="1:9" x14ac:dyDescent="0.25">
      <c r="A6" s="5" t="s">
        <v>5</v>
      </c>
      <c r="B6" s="324" t="s">
        <v>43</v>
      </c>
      <c r="C6" s="277"/>
      <c r="D6" s="277"/>
      <c r="E6" s="277"/>
      <c r="F6" s="277"/>
      <c r="G6" s="277"/>
      <c r="H6" s="278"/>
      <c r="I6" s="1" t="s">
        <v>344</v>
      </c>
    </row>
    <row r="7" spans="1:9" ht="16.5" thickBot="1" x14ac:dyDescent="0.3">
      <c r="A7" s="7" t="s">
        <v>6</v>
      </c>
      <c r="B7" s="334" t="s">
        <v>44</v>
      </c>
      <c r="C7" s="335"/>
      <c r="D7" s="335"/>
      <c r="E7" s="335"/>
      <c r="F7" s="335"/>
      <c r="G7" s="335"/>
      <c r="H7" s="336"/>
      <c r="I7" s="8">
        <v>12</v>
      </c>
    </row>
    <row r="8" spans="1:9" ht="7.5" customHeight="1" thickBot="1" x14ac:dyDescent="0.3">
      <c r="A8" s="312"/>
      <c r="B8" s="313"/>
      <c r="C8" s="313"/>
      <c r="D8" s="313"/>
      <c r="E8" s="313"/>
      <c r="F8" s="313"/>
      <c r="G8" s="313"/>
      <c r="H8" s="313"/>
      <c r="I8" s="314"/>
    </row>
    <row r="9" spans="1:9" ht="15.75" customHeight="1" thickBot="1" x14ac:dyDescent="0.3">
      <c r="A9" s="299" t="s">
        <v>45</v>
      </c>
      <c r="B9" s="300"/>
      <c r="C9" s="300"/>
      <c r="D9" s="300"/>
      <c r="E9" s="300"/>
      <c r="F9" s="300"/>
      <c r="G9" s="300"/>
      <c r="H9" s="300"/>
      <c r="I9" s="301"/>
    </row>
    <row r="10" spans="1:9" ht="30" customHeight="1" x14ac:dyDescent="0.25">
      <c r="A10" s="350" t="s">
        <v>32</v>
      </c>
      <c r="B10" s="351"/>
      <c r="C10" s="351"/>
      <c r="D10" s="351"/>
      <c r="E10" s="351"/>
      <c r="F10" s="347"/>
      <c r="G10" s="346" t="s">
        <v>33</v>
      </c>
      <c r="H10" s="347"/>
      <c r="I10" s="45" t="s">
        <v>46</v>
      </c>
    </row>
    <row r="11" spans="1:9" ht="48" customHeight="1" thickBot="1" x14ac:dyDescent="0.3">
      <c r="A11" s="352" t="s">
        <v>200</v>
      </c>
      <c r="B11" s="353"/>
      <c r="C11" s="353"/>
      <c r="D11" s="353"/>
      <c r="E11" s="353"/>
      <c r="F11" s="354"/>
      <c r="G11" s="348" t="s">
        <v>113</v>
      </c>
      <c r="H11" s="349"/>
      <c r="I11" s="44">
        <v>1</v>
      </c>
    </row>
    <row r="12" spans="1:9" ht="7.5" customHeight="1" thickBot="1" x14ac:dyDescent="0.3">
      <c r="A12" s="312"/>
      <c r="B12" s="313"/>
      <c r="C12" s="313"/>
      <c r="D12" s="313"/>
      <c r="E12" s="313"/>
      <c r="F12" s="313"/>
      <c r="G12" s="313"/>
      <c r="H12" s="313"/>
      <c r="I12" s="314"/>
    </row>
    <row r="13" spans="1:9" ht="15.75" customHeight="1" thickBot="1" x14ac:dyDescent="0.3">
      <c r="A13" s="299" t="s">
        <v>47</v>
      </c>
      <c r="B13" s="300"/>
      <c r="C13" s="300"/>
      <c r="D13" s="300"/>
      <c r="E13" s="300"/>
      <c r="F13" s="300"/>
      <c r="G13" s="300"/>
      <c r="H13" s="300"/>
      <c r="I13" s="301"/>
    </row>
    <row r="14" spans="1:9" ht="15.75" customHeight="1" thickBot="1" x14ac:dyDescent="0.3">
      <c r="A14" s="299" t="s">
        <v>34</v>
      </c>
      <c r="B14" s="300"/>
      <c r="C14" s="300"/>
      <c r="D14" s="300"/>
      <c r="E14" s="300"/>
      <c r="F14" s="300"/>
      <c r="G14" s="300"/>
      <c r="H14" s="300"/>
      <c r="I14" s="301"/>
    </row>
    <row r="15" spans="1:9" ht="16.5" thickBot="1" x14ac:dyDescent="0.3">
      <c r="A15" s="343" t="s">
        <v>35</v>
      </c>
      <c r="B15" s="344"/>
      <c r="C15" s="344"/>
      <c r="D15" s="344"/>
      <c r="E15" s="344"/>
      <c r="F15" s="344"/>
      <c r="G15" s="344"/>
      <c r="H15" s="344"/>
      <c r="I15" s="345"/>
    </row>
    <row r="16" spans="1:9" ht="16.5" thickBot="1" x14ac:dyDescent="0.3">
      <c r="A16" s="299" t="s">
        <v>48</v>
      </c>
      <c r="B16" s="300"/>
      <c r="C16" s="300"/>
      <c r="D16" s="300"/>
      <c r="E16" s="300"/>
      <c r="F16" s="300"/>
      <c r="G16" s="300"/>
      <c r="H16" s="300"/>
      <c r="I16" s="301"/>
    </row>
    <row r="17" spans="1:9" x14ac:dyDescent="0.25">
      <c r="A17" s="3">
        <v>1</v>
      </c>
      <c r="B17" s="337" t="s">
        <v>49</v>
      </c>
      <c r="C17" s="338"/>
      <c r="D17" s="338"/>
      <c r="E17" s="338"/>
      <c r="F17" s="338"/>
      <c r="G17" s="338"/>
      <c r="H17" s="339"/>
      <c r="I17" s="9" t="s">
        <v>199</v>
      </c>
    </row>
    <row r="18" spans="1:9" ht="15.75" customHeight="1" x14ac:dyDescent="0.25">
      <c r="A18" s="5">
        <v>2</v>
      </c>
      <c r="B18" s="324" t="s">
        <v>36</v>
      </c>
      <c r="C18" s="277"/>
      <c r="D18" s="277"/>
      <c r="E18" s="277"/>
      <c r="F18" s="277"/>
      <c r="G18" s="277"/>
      <c r="H18" s="278"/>
      <c r="I18" s="6" t="s">
        <v>201</v>
      </c>
    </row>
    <row r="19" spans="1:9" ht="15.75" customHeight="1" x14ac:dyDescent="0.25">
      <c r="A19" s="5">
        <v>3</v>
      </c>
      <c r="B19" s="324" t="s">
        <v>50</v>
      </c>
      <c r="C19" s="277"/>
      <c r="D19" s="277"/>
      <c r="E19" s="277"/>
      <c r="F19" s="277"/>
      <c r="G19" s="277"/>
      <c r="H19" s="278"/>
      <c r="I19" s="10">
        <v>1536.59</v>
      </c>
    </row>
    <row r="20" spans="1:9" ht="15.75" customHeight="1" x14ac:dyDescent="0.25">
      <c r="A20" s="5">
        <v>4</v>
      </c>
      <c r="B20" s="302" t="s">
        <v>51</v>
      </c>
      <c r="C20" s="303"/>
      <c r="D20" s="303"/>
      <c r="E20" s="303"/>
      <c r="F20" s="303"/>
      <c r="G20" s="303"/>
      <c r="H20" s="304"/>
      <c r="I20" s="1" t="s">
        <v>343</v>
      </c>
    </row>
    <row r="21" spans="1:9" ht="15.75" customHeight="1" thickBot="1" x14ac:dyDescent="0.3">
      <c r="A21" s="7">
        <v>5</v>
      </c>
      <c r="B21" s="334" t="s">
        <v>52</v>
      </c>
      <c r="C21" s="335"/>
      <c r="D21" s="335"/>
      <c r="E21" s="335"/>
      <c r="F21" s="335"/>
      <c r="G21" s="335"/>
      <c r="H21" s="336"/>
      <c r="I21" s="11">
        <v>45292</v>
      </c>
    </row>
    <row r="22" spans="1:9" ht="53.25" customHeight="1" thickBot="1" x14ac:dyDescent="0.3">
      <c r="A22" s="340" t="s">
        <v>137</v>
      </c>
      <c r="B22" s="341"/>
      <c r="C22" s="341"/>
      <c r="D22" s="341"/>
      <c r="E22" s="341"/>
      <c r="F22" s="341"/>
      <c r="G22" s="341"/>
      <c r="H22" s="341"/>
      <c r="I22" s="342"/>
    </row>
    <row r="23" spans="1:9" ht="16.5" thickBot="1" x14ac:dyDescent="0.3">
      <c r="A23" s="299" t="s">
        <v>53</v>
      </c>
      <c r="B23" s="300"/>
      <c r="C23" s="300"/>
      <c r="D23" s="300"/>
      <c r="E23" s="300"/>
      <c r="F23" s="300"/>
      <c r="G23" s="300"/>
      <c r="H23" s="300"/>
      <c r="I23" s="301"/>
    </row>
    <row r="24" spans="1:9" x14ac:dyDescent="0.25">
      <c r="A24" s="63">
        <v>1</v>
      </c>
      <c r="B24" s="290" t="s">
        <v>54</v>
      </c>
      <c r="C24" s="291"/>
      <c r="D24" s="291"/>
      <c r="E24" s="291"/>
      <c r="F24" s="291"/>
      <c r="G24" s="292"/>
      <c r="H24" s="62" t="s">
        <v>55</v>
      </c>
      <c r="I24" s="12" t="s">
        <v>56</v>
      </c>
    </row>
    <row r="25" spans="1:9" x14ac:dyDescent="0.25">
      <c r="A25" s="13" t="s">
        <v>2</v>
      </c>
      <c r="B25" s="324" t="s">
        <v>57</v>
      </c>
      <c r="C25" s="277"/>
      <c r="D25" s="277"/>
      <c r="E25" s="277"/>
      <c r="F25" s="277"/>
      <c r="G25" s="278"/>
      <c r="H25" s="65"/>
      <c r="I25" s="14">
        <f>I19</f>
        <v>1536.59</v>
      </c>
    </row>
    <row r="26" spans="1:9" x14ac:dyDescent="0.25">
      <c r="A26" s="13" t="s">
        <v>3</v>
      </c>
      <c r="B26" s="324" t="s">
        <v>58</v>
      </c>
      <c r="C26" s="277"/>
      <c r="D26" s="277"/>
      <c r="E26" s="277"/>
      <c r="F26" s="277"/>
      <c r="G26" s="278"/>
      <c r="H26" s="15"/>
      <c r="I26" s="14">
        <f>H26*G26</f>
        <v>0</v>
      </c>
    </row>
    <row r="27" spans="1:9" x14ac:dyDescent="0.25">
      <c r="A27" s="13" t="s">
        <v>5</v>
      </c>
      <c r="B27" s="324" t="s">
        <v>4</v>
      </c>
      <c r="C27" s="277"/>
      <c r="D27" s="277"/>
      <c r="E27" s="277"/>
      <c r="F27" s="277"/>
      <c r="G27" s="278"/>
      <c r="H27" s="15">
        <v>0.3</v>
      </c>
      <c r="I27" s="14">
        <f>H27*I25</f>
        <v>460.97699999999998</v>
      </c>
    </row>
    <row r="28" spans="1:9" x14ac:dyDescent="0.25">
      <c r="A28" s="13" t="s">
        <v>6</v>
      </c>
      <c r="B28" s="324" t="s">
        <v>59</v>
      </c>
      <c r="C28" s="277"/>
      <c r="D28" s="277"/>
      <c r="E28" s="277"/>
      <c r="F28" s="277"/>
      <c r="G28" s="278"/>
      <c r="H28" s="16"/>
      <c r="I28" s="14">
        <f t="shared" ref="I28:I29" si="0">H28*I26</f>
        <v>0</v>
      </c>
    </row>
    <row r="29" spans="1:9" x14ac:dyDescent="0.25">
      <c r="A29" s="13" t="s">
        <v>7</v>
      </c>
      <c r="B29" s="324" t="s">
        <v>60</v>
      </c>
      <c r="C29" s="277"/>
      <c r="D29" s="277"/>
      <c r="E29" s="277"/>
      <c r="F29" s="277"/>
      <c r="G29" s="278"/>
      <c r="H29" s="61"/>
      <c r="I29" s="14">
        <f t="shared" si="0"/>
        <v>0</v>
      </c>
    </row>
    <row r="30" spans="1:9" x14ac:dyDescent="0.25">
      <c r="A30" s="13" t="s">
        <v>8</v>
      </c>
      <c r="B30" s="324" t="s">
        <v>342</v>
      </c>
      <c r="C30" s="277"/>
      <c r="D30" s="277"/>
      <c r="E30" s="277"/>
      <c r="F30" s="277"/>
      <c r="G30" s="278"/>
      <c r="H30" s="15"/>
      <c r="I30" s="14">
        <f>H30*I25</f>
        <v>0</v>
      </c>
    </row>
    <row r="31" spans="1:9" ht="16.5" thickBot="1" x14ac:dyDescent="0.3">
      <c r="A31" s="287" t="s">
        <v>61</v>
      </c>
      <c r="B31" s="288"/>
      <c r="C31" s="288"/>
      <c r="D31" s="288"/>
      <c r="E31" s="288"/>
      <c r="F31" s="288"/>
      <c r="G31" s="288"/>
      <c r="H31" s="289"/>
      <c r="I31" s="17">
        <f>ROUND(SUM(I25:I30),2)</f>
        <v>1997.57</v>
      </c>
    </row>
    <row r="32" spans="1:9" ht="7.5" customHeight="1" thickBot="1" x14ac:dyDescent="0.3">
      <c r="A32" s="296"/>
      <c r="B32" s="297"/>
      <c r="C32" s="297"/>
      <c r="D32" s="297"/>
      <c r="E32" s="297"/>
      <c r="F32" s="297"/>
      <c r="G32" s="297"/>
      <c r="H32" s="297"/>
      <c r="I32" s="298"/>
    </row>
    <row r="33" spans="1:12" ht="16.5" thickBot="1" x14ac:dyDescent="0.3">
      <c r="A33" s="299" t="s">
        <v>62</v>
      </c>
      <c r="B33" s="300"/>
      <c r="C33" s="300"/>
      <c r="D33" s="300"/>
      <c r="E33" s="300"/>
      <c r="F33" s="300"/>
      <c r="G33" s="300"/>
      <c r="H33" s="300"/>
      <c r="I33" s="301"/>
    </row>
    <row r="34" spans="1:12" x14ac:dyDescent="0.25">
      <c r="A34" s="311" t="s">
        <v>63</v>
      </c>
      <c r="B34" s="291"/>
      <c r="C34" s="291"/>
      <c r="D34" s="291"/>
      <c r="E34" s="291"/>
      <c r="F34" s="291"/>
      <c r="G34" s="292"/>
      <c r="H34" s="62" t="s">
        <v>55</v>
      </c>
      <c r="I34" s="12" t="s">
        <v>56</v>
      </c>
    </row>
    <row r="35" spans="1:12" ht="35.25" customHeight="1" x14ac:dyDescent="0.25">
      <c r="A35" s="13" t="s">
        <v>2</v>
      </c>
      <c r="B35" s="357" t="s">
        <v>138</v>
      </c>
      <c r="C35" s="358"/>
      <c r="D35" s="358"/>
      <c r="E35" s="358"/>
      <c r="F35" s="358"/>
      <c r="G35" s="359"/>
      <c r="H35" s="18">
        <f>((1/12)*100%)</f>
        <v>8.3333333333333329E-2</v>
      </c>
      <c r="I35" s="14">
        <f>ROUND(($I$31*H35),2)</f>
        <v>166.46</v>
      </c>
    </row>
    <row r="36" spans="1:12" ht="78" customHeight="1" x14ac:dyDescent="0.25">
      <c r="A36" s="13" t="s">
        <v>3</v>
      </c>
      <c r="B36" s="357" t="s">
        <v>157</v>
      </c>
      <c r="C36" s="358"/>
      <c r="D36" s="358"/>
      <c r="E36" s="358"/>
      <c r="F36" s="358"/>
      <c r="G36" s="359"/>
      <c r="H36" s="18">
        <v>0.121</v>
      </c>
      <c r="I36" s="14">
        <f>ROUND(($I$31*H36),2)</f>
        <v>241.71</v>
      </c>
      <c r="J36" s="19"/>
      <c r="K36" s="20"/>
    </row>
    <row r="37" spans="1:12" ht="16.5" thickBot="1" x14ac:dyDescent="0.3">
      <c r="A37" s="287" t="s">
        <v>64</v>
      </c>
      <c r="B37" s="288"/>
      <c r="C37" s="288"/>
      <c r="D37" s="288"/>
      <c r="E37" s="288"/>
      <c r="F37" s="288"/>
      <c r="G37" s="289"/>
      <c r="H37" s="21">
        <f>SUM(H35:H36)</f>
        <v>0.20433333333333331</v>
      </c>
      <c r="I37" s="17">
        <f>SUM(I35:I36)</f>
        <v>408.17</v>
      </c>
      <c r="K37" s="23"/>
      <c r="L37" s="23"/>
    </row>
    <row r="38" spans="1:12" ht="84" customHeight="1" thickBot="1" x14ac:dyDescent="0.3">
      <c r="A38" s="308" t="s">
        <v>139</v>
      </c>
      <c r="B38" s="355"/>
      <c r="C38" s="355"/>
      <c r="D38" s="355"/>
      <c r="E38" s="355"/>
      <c r="F38" s="355"/>
      <c r="G38" s="355"/>
      <c r="H38" s="355"/>
      <c r="I38" s="356"/>
    </row>
    <row r="39" spans="1:12" ht="15.75" customHeight="1" x14ac:dyDescent="0.25">
      <c r="A39" s="311" t="s">
        <v>65</v>
      </c>
      <c r="B39" s="291"/>
      <c r="C39" s="291"/>
      <c r="D39" s="291"/>
      <c r="E39" s="291"/>
      <c r="F39" s="291"/>
      <c r="G39" s="292"/>
      <c r="H39" s="64" t="s">
        <v>55</v>
      </c>
      <c r="I39" s="22" t="s">
        <v>56</v>
      </c>
    </row>
    <row r="40" spans="1:12" x14ac:dyDescent="0.25">
      <c r="A40" s="13" t="s">
        <v>2</v>
      </c>
      <c r="B40" s="324" t="s">
        <v>66</v>
      </c>
      <c r="C40" s="277"/>
      <c r="D40" s="277"/>
      <c r="E40" s="277"/>
      <c r="F40" s="277"/>
      <c r="G40" s="278"/>
      <c r="H40" s="18">
        <v>0.2</v>
      </c>
      <c r="I40" s="14">
        <f>ROUND((($I$31+$I$37)*H40),2)</f>
        <v>481.15</v>
      </c>
    </row>
    <row r="41" spans="1:12" ht="15.75" customHeight="1" x14ac:dyDescent="0.25">
      <c r="A41" s="13" t="s">
        <v>3</v>
      </c>
      <c r="B41" s="324" t="s">
        <v>67</v>
      </c>
      <c r="C41" s="277"/>
      <c r="D41" s="277"/>
      <c r="E41" s="277"/>
      <c r="F41" s="277"/>
      <c r="G41" s="278"/>
      <c r="H41" s="18">
        <v>2.5000000000000001E-2</v>
      </c>
      <c r="I41" s="14">
        <f t="shared" ref="I41:I47" si="1">ROUND((($I$31+$I$37)*H41),2)</f>
        <v>60.14</v>
      </c>
    </row>
    <row r="42" spans="1:12" ht="33" customHeight="1" x14ac:dyDescent="0.25">
      <c r="A42" s="13" t="s">
        <v>5</v>
      </c>
      <c r="B42" s="357" t="s">
        <v>140</v>
      </c>
      <c r="C42" s="358"/>
      <c r="D42" s="358"/>
      <c r="E42" s="358"/>
      <c r="F42" s="358"/>
      <c r="G42" s="359"/>
      <c r="H42" s="18">
        <v>0.03</v>
      </c>
      <c r="I42" s="14">
        <f t="shared" si="1"/>
        <v>72.17</v>
      </c>
    </row>
    <row r="43" spans="1:12" x14ac:dyDescent="0.25">
      <c r="A43" s="13" t="s">
        <v>6</v>
      </c>
      <c r="B43" s="324" t="s">
        <v>12</v>
      </c>
      <c r="C43" s="277"/>
      <c r="D43" s="277"/>
      <c r="E43" s="277"/>
      <c r="F43" s="277"/>
      <c r="G43" s="278"/>
      <c r="H43" s="18">
        <v>1.4999999999999999E-2</v>
      </c>
      <c r="I43" s="14">
        <f t="shared" si="1"/>
        <v>36.090000000000003</v>
      </c>
    </row>
    <row r="44" spans="1:12" x14ac:dyDescent="0.25">
      <c r="A44" s="13" t="s">
        <v>7</v>
      </c>
      <c r="B44" s="324" t="s">
        <v>68</v>
      </c>
      <c r="C44" s="277"/>
      <c r="D44" s="277"/>
      <c r="E44" s="277"/>
      <c r="F44" s="277"/>
      <c r="G44" s="278"/>
      <c r="H44" s="18">
        <v>0.01</v>
      </c>
      <c r="I44" s="14">
        <f t="shared" si="1"/>
        <v>24.06</v>
      </c>
    </row>
    <row r="45" spans="1:12" x14ac:dyDescent="0.25">
      <c r="A45" s="13" t="s">
        <v>8</v>
      </c>
      <c r="B45" s="324" t="s">
        <v>69</v>
      </c>
      <c r="C45" s="277"/>
      <c r="D45" s="277"/>
      <c r="E45" s="277"/>
      <c r="F45" s="277"/>
      <c r="G45" s="278"/>
      <c r="H45" s="18">
        <v>6.0000000000000001E-3</v>
      </c>
      <c r="I45" s="14">
        <f t="shared" si="1"/>
        <v>14.43</v>
      </c>
    </row>
    <row r="46" spans="1:12" x14ac:dyDescent="0.25">
      <c r="A46" s="13" t="s">
        <v>9</v>
      </c>
      <c r="B46" s="324" t="s">
        <v>70</v>
      </c>
      <c r="C46" s="277"/>
      <c r="D46" s="277"/>
      <c r="E46" s="277"/>
      <c r="F46" s="277"/>
      <c r="G46" s="278"/>
      <c r="H46" s="18">
        <v>2E-3</v>
      </c>
      <c r="I46" s="14">
        <f t="shared" si="1"/>
        <v>4.8099999999999996</v>
      </c>
    </row>
    <row r="47" spans="1:12" ht="15.75" customHeight="1" x14ac:dyDescent="0.25">
      <c r="A47" s="13" t="s">
        <v>13</v>
      </c>
      <c r="B47" s="324" t="s">
        <v>71</v>
      </c>
      <c r="C47" s="277"/>
      <c r="D47" s="277"/>
      <c r="E47" s="277"/>
      <c r="F47" s="277"/>
      <c r="G47" s="278"/>
      <c r="H47" s="18">
        <v>0.08</v>
      </c>
      <c r="I47" s="14">
        <f t="shared" si="1"/>
        <v>192.46</v>
      </c>
    </row>
    <row r="48" spans="1:12" ht="16.5" thickBot="1" x14ac:dyDescent="0.3">
      <c r="A48" s="287" t="s">
        <v>72</v>
      </c>
      <c r="B48" s="288"/>
      <c r="C48" s="288"/>
      <c r="D48" s="288"/>
      <c r="E48" s="288"/>
      <c r="F48" s="288"/>
      <c r="G48" s="289"/>
      <c r="H48" s="21">
        <f>SUM(H40:H47)</f>
        <v>0.36800000000000005</v>
      </c>
      <c r="I48" s="17">
        <f>SUM(I40:I47)</f>
        <v>885.30999999999983</v>
      </c>
      <c r="J48" s="23"/>
    </row>
    <row r="49" spans="1:11" ht="46.5" customHeight="1" thickBot="1" x14ac:dyDescent="0.3">
      <c r="A49" s="308" t="s">
        <v>141</v>
      </c>
      <c r="B49" s="332"/>
      <c r="C49" s="332"/>
      <c r="D49" s="332"/>
      <c r="E49" s="332"/>
      <c r="F49" s="332"/>
      <c r="G49" s="332"/>
      <c r="H49" s="332"/>
      <c r="I49" s="333"/>
    </row>
    <row r="50" spans="1:11" x14ac:dyDescent="0.25">
      <c r="A50" s="311" t="s">
        <v>73</v>
      </c>
      <c r="B50" s="291"/>
      <c r="C50" s="291"/>
      <c r="D50" s="291"/>
      <c r="E50" s="291"/>
      <c r="F50" s="291"/>
      <c r="G50" s="292"/>
      <c r="H50" s="24"/>
      <c r="I50" s="22" t="s">
        <v>56</v>
      </c>
    </row>
    <row r="51" spans="1:11" x14ac:dyDescent="0.25">
      <c r="A51" s="13" t="s">
        <v>2</v>
      </c>
      <c r="B51" s="321" t="s">
        <v>307</v>
      </c>
      <c r="C51" s="322"/>
      <c r="D51" s="322"/>
      <c r="E51" s="322"/>
      <c r="F51" s="322"/>
      <c r="G51" s="323"/>
      <c r="H51" s="16" t="s">
        <v>74</v>
      </c>
      <c r="I51" s="14">
        <f>'Transporte (THE)'!D15</f>
        <v>260.92</v>
      </c>
    </row>
    <row r="52" spans="1:11" x14ac:dyDescent="0.25">
      <c r="A52" s="13" t="s">
        <v>3</v>
      </c>
      <c r="B52" s="321" t="s">
        <v>308</v>
      </c>
      <c r="C52" s="322"/>
      <c r="D52" s="322"/>
      <c r="E52" s="322"/>
      <c r="F52" s="322"/>
      <c r="G52" s="323"/>
      <c r="H52" s="25">
        <v>21.53</v>
      </c>
      <c r="I52" s="14">
        <v>473.82</v>
      </c>
    </row>
    <row r="53" spans="1:11" x14ac:dyDescent="0.25">
      <c r="A53" s="13" t="s">
        <v>5</v>
      </c>
      <c r="B53" s="324" t="s">
        <v>310</v>
      </c>
      <c r="C53" s="277"/>
      <c r="D53" s="277"/>
      <c r="E53" s="277"/>
      <c r="F53" s="277"/>
      <c r="G53" s="278"/>
      <c r="H53" s="25"/>
      <c r="I53" s="149">
        <v>104.89</v>
      </c>
    </row>
    <row r="54" spans="1:11" x14ac:dyDescent="0.25">
      <c r="A54" s="13" t="s">
        <v>6</v>
      </c>
      <c r="B54" s="321" t="s">
        <v>309</v>
      </c>
      <c r="C54" s="322"/>
      <c r="D54" s="322"/>
      <c r="E54" s="322"/>
      <c r="F54" s="322"/>
      <c r="G54" s="323"/>
      <c r="H54" s="16" t="s">
        <v>74</v>
      </c>
      <c r="I54" s="149">
        <v>4.4400000000000004</v>
      </c>
      <c r="K54" s="23"/>
    </row>
    <row r="55" spans="1:11" ht="16.5" thickBot="1" x14ac:dyDescent="0.3">
      <c r="A55" s="287" t="s">
        <v>75</v>
      </c>
      <c r="B55" s="288"/>
      <c r="C55" s="288"/>
      <c r="D55" s="288"/>
      <c r="E55" s="288"/>
      <c r="F55" s="288"/>
      <c r="G55" s="288"/>
      <c r="H55" s="289"/>
      <c r="I55" s="17">
        <f>SUM(I51:I54)</f>
        <v>844.07</v>
      </c>
    </row>
    <row r="56" spans="1:11" ht="84" customHeight="1" thickBot="1" x14ac:dyDescent="0.3">
      <c r="A56" s="308" t="s">
        <v>176</v>
      </c>
      <c r="B56" s="330"/>
      <c r="C56" s="330"/>
      <c r="D56" s="330"/>
      <c r="E56" s="330"/>
      <c r="F56" s="330"/>
      <c r="G56" s="330"/>
      <c r="H56" s="330"/>
      <c r="I56" s="331"/>
    </row>
    <row r="57" spans="1:11" ht="16.5" thickBot="1" x14ac:dyDescent="0.3">
      <c r="A57" s="299" t="s">
        <v>76</v>
      </c>
      <c r="B57" s="300"/>
      <c r="C57" s="300"/>
      <c r="D57" s="300"/>
      <c r="E57" s="300"/>
      <c r="F57" s="300"/>
      <c r="G57" s="300"/>
      <c r="H57" s="300"/>
      <c r="I57" s="301"/>
    </row>
    <row r="58" spans="1:11" x14ac:dyDescent="0.25">
      <c r="A58" s="311" t="s">
        <v>77</v>
      </c>
      <c r="B58" s="291"/>
      <c r="C58" s="291"/>
      <c r="D58" s="291"/>
      <c r="E58" s="291"/>
      <c r="F58" s="291"/>
      <c r="G58" s="291"/>
      <c r="H58" s="292"/>
      <c r="I58" s="12" t="s">
        <v>56</v>
      </c>
    </row>
    <row r="59" spans="1:11" x14ac:dyDescent="0.25">
      <c r="A59" s="13" t="s">
        <v>10</v>
      </c>
      <c r="B59" s="324" t="s">
        <v>78</v>
      </c>
      <c r="C59" s="277"/>
      <c r="D59" s="277"/>
      <c r="E59" s="277"/>
      <c r="F59" s="277"/>
      <c r="G59" s="277"/>
      <c r="H59" s="278"/>
      <c r="I59" s="14">
        <f>I37</f>
        <v>408.17</v>
      </c>
    </row>
    <row r="60" spans="1:11" x14ac:dyDescent="0.25">
      <c r="A60" s="13" t="s">
        <v>11</v>
      </c>
      <c r="B60" s="324" t="s">
        <v>79</v>
      </c>
      <c r="C60" s="277"/>
      <c r="D60" s="277"/>
      <c r="E60" s="277"/>
      <c r="F60" s="277"/>
      <c r="G60" s="277"/>
      <c r="H60" s="278"/>
      <c r="I60" s="14">
        <f>I48</f>
        <v>885.30999999999983</v>
      </c>
    </row>
    <row r="61" spans="1:11" x14ac:dyDescent="0.25">
      <c r="A61" s="13" t="s">
        <v>14</v>
      </c>
      <c r="B61" s="324" t="s">
        <v>15</v>
      </c>
      <c r="C61" s="277"/>
      <c r="D61" s="277"/>
      <c r="E61" s="277"/>
      <c r="F61" s="277"/>
      <c r="G61" s="277"/>
      <c r="H61" s="278"/>
      <c r="I61" s="14">
        <f>I55</f>
        <v>844.07</v>
      </c>
    </row>
    <row r="62" spans="1:11" ht="16.5" thickBot="1" x14ac:dyDescent="0.3">
      <c r="A62" s="287" t="s">
        <v>80</v>
      </c>
      <c r="B62" s="288"/>
      <c r="C62" s="288"/>
      <c r="D62" s="288"/>
      <c r="E62" s="288"/>
      <c r="F62" s="288"/>
      <c r="G62" s="288"/>
      <c r="H62" s="289"/>
      <c r="I62" s="17">
        <f>TRUNC(SUM(I59:I61),2)</f>
        <v>2137.5500000000002</v>
      </c>
    </row>
    <row r="63" spans="1:11" ht="15" customHeight="1" thickBot="1" x14ac:dyDescent="0.3">
      <c r="A63" s="296"/>
      <c r="B63" s="297"/>
      <c r="C63" s="297"/>
      <c r="D63" s="297"/>
      <c r="E63" s="297"/>
      <c r="F63" s="297"/>
      <c r="G63" s="297"/>
      <c r="H63" s="297"/>
      <c r="I63" s="298"/>
    </row>
    <row r="64" spans="1:11" ht="16.5" thickBot="1" x14ac:dyDescent="0.3">
      <c r="A64" s="299" t="s">
        <v>81</v>
      </c>
      <c r="B64" s="300"/>
      <c r="C64" s="300"/>
      <c r="D64" s="300"/>
      <c r="E64" s="300"/>
      <c r="F64" s="300"/>
      <c r="G64" s="300"/>
      <c r="H64" s="300"/>
      <c r="I64" s="301"/>
    </row>
    <row r="65" spans="1:10" x14ac:dyDescent="0.25">
      <c r="A65" s="63">
        <v>3</v>
      </c>
      <c r="B65" s="290" t="s">
        <v>82</v>
      </c>
      <c r="C65" s="291"/>
      <c r="D65" s="291"/>
      <c r="E65" s="291"/>
      <c r="F65" s="291"/>
      <c r="G65" s="292"/>
      <c r="H65" s="62" t="s">
        <v>55</v>
      </c>
      <c r="I65" s="12" t="s">
        <v>56</v>
      </c>
    </row>
    <row r="66" spans="1:10" ht="70.5" customHeight="1" x14ac:dyDescent="0.25">
      <c r="A66" s="13" t="s">
        <v>2</v>
      </c>
      <c r="B66" s="282" t="s">
        <v>142</v>
      </c>
      <c r="C66" s="283"/>
      <c r="D66" s="283"/>
      <c r="E66" s="283"/>
      <c r="F66" s="283"/>
      <c r="G66" s="284"/>
      <c r="H66" s="18">
        <f>(((1/12)*0.05)*100%)</f>
        <v>4.1666666666666666E-3</v>
      </c>
      <c r="I66" s="14">
        <f>ROUND((I$31*$H$66),2)</f>
        <v>8.32</v>
      </c>
      <c r="J66" s="26"/>
    </row>
    <row r="67" spans="1:10" x14ac:dyDescent="0.25">
      <c r="A67" s="13" t="s">
        <v>3</v>
      </c>
      <c r="B67" s="324" t="s">
        <v>16</v>
      </c>
      <c r="C67" s="277"/>
      <c r="D67" s="277"/>
      <c r="E67" s="277"/>
      <c r="F67" s="277"/>
      <c r="G67" s="278"/>
      <c r="H67" s="18">
        <f>H47*H66</f>
        <v>3.3333333333333332E-4</v>
      </c>
      <c r="I67" s="14">
        <f>ROUND((I$31*$H$67),2)</f>
        <v>0.67</v>
      </c>
    </row>
    <row r="68" spans="1:10" ht="72.75" customHeight="1" x14ac:dyDescent="0.25">
      <c r="A68" s="13" t="s">
        <v>5</v>
      </c>
      <c r="B68" s="282" t="s">
        <v>143</v>
      </c>
      <c r="C68" s="283"/>
      <c r="D68" s="283"/>
      <c r="E68" s="283"/>
      <c r="F68" s="283"/>
      <c r="G68" s="284"/>
      <c r="H68" s="18">
        <f>(((100%/30)*7)/12)</f>
        <v>1.9444444444444445E-2</v>
      </c>
      <c r="I68" s="14">
        <f>ROUND((I$31*$H$68),2)</f>
        <v>38.840000000000003</v>
      </c>
      <c r="J68" s="19"/>
    </row>
    <row r="69" spans="1:10" x14ac:dyDescent="0.25">
      <c r="A69" s="13" t="s">
        <v>6</v>
      </c>
      <c r="B69" s="324" t="s">
        <v>83</v>
      </c>
      <c r="C69" s="277"/>
      <c r="D69" s="277"/>
      <c r="E69" s="277"/>
      <c r="F69" s="277"/>
      <c r="G69" s="278"/>
      <c r="H69" s="18">
        <f>H68*H48</f>
        <v>7.1555555555555565E-3</v>
      </c>
      <c r="I69" s="14">
        <f>ROUND((I$31*$H$69),2)</f>
        <v>14.29</v>
      </c>
    </row>
    <row r="70" spans="1:10" ht="54" customHeight="1" x14ac:dyDescent="0.25">
      <c r="A70" s="13" t="s">
        <v>7</v>
      </c>
      <c r="B70" s="282" t="s">
        <v>144</v>
      </c>
      <c r="C70" s="283"/>
      <c r="D70" s="283"/>
      <c r="E70" s="283"/>
      <c r="F70" s="283"/>
      <c r="G70" s="284"/>
      <c r="H70" s="18">
        <v>0.04</v>
      </c>
      <c r="I70" s="14">
        <f>ROUND((I$31*$H$70),2)</f>
        <v>79.900000000000006</v>
      </c>
    </row>
    <row r="71" spans="1:10" ht="16.5" thickBot="1" x14ac:dyDescent="0.3">
      <c r="A71" s="287" t="s">
        <v>84</v>
      </c>
      <c r="B71" s="288"/>
      <c r="C71" s="288"/>
      <c r="D71" s="288"/>
      <c r="E71" s="288"/>
      <c r="F71" s="288"/>
      <c r="G71" s="289"/>
      <c r="H71" s="21">
        <f>TRUNC(SUM(H66:H70),4)</f>
        <v>7.1099999999999997E-2</v>
      </c>
      <c r="I71" s="17">
        <f>SUM(I66:I70)</f>
        <v>142.02000000000001</v>
      </c>
    </row>
    <row r="72" spans="1:10" ht="17.25" customHeight="1" thickBot="1" x14ac:dyDescent="0.3">
      <c r="A72" s="296"/>
      <c r="B72" s="297"/>
      <c r="C72" s="297"/>
      <c r="D72" s="297"/>
      <c r="E72" s="297"/>
      <c r="F72" s="297"/>
      <c r="G72" s="297"/>
      <c r="H72" s="297"/>
      <c r="I72" s="298"/>
    </row>
    <row r="73" spans="1:10" ht="16.5" thickBot="1" x14ac:dyDescent="0.3">
      <c r="A73" s="299" t="s">
        <v>85</v>
      </c>
      <c r="B73" s="300"/>
      <c r="C73" s="300"/>
      <c r="D73" s="300"/>
      <c r="E73" s="300"/>
      <c r="F73" s="300"/>
      <c r="G73" s="300"/>
      <c r="H73" s="300"/>
      <c r="I73" s="301"/>
    </row>
    <row r="74" spans="1:10" ht="36" customHeight="1" thickBot="1" x14ac:dyDescent="0.3">
      <c r="A74" s="308" t="s">
        <v>131</v>
      </c>
      <c r="B74" s="363"/>
      <c r="C74" s="363"/>
      <c r="D74" s="363"/>
      <c r="E74" s="363"/>
      <c r="F74" s="363"/>
      <c r="G74" s="363"/>
      <c r="H74" s="363"/>
      <c r="I74" s="364"/>
    </row>
    <row r="75" spans="1:10" ht="36" customHeight="1" thickBot="1" x14ac:dyDescent="0.3">
      <c r="A75" s="365" t="s">
        <v>145</v>
      </c>
      <c r="B75" s="366"/>
      <c r="C75" s="366"/>
      <c r="D75" s="366"/>
      <c r="E75" s="366"/>
      <c r="F75" s="366"/>
      <c r="G75" s="366"/>
      <c r="H75" s="366"/>
      <c r="I75" s="367"/>
    </row>
    <row r="76" spans="1:10" ht="45.75" customHeight="1" thickBot="1" x14ac:dyDescent="0.3">
      <c r="A76" s="67" t="s">
        <v>132</v>
      </c>
      <c r="B76" s="69">
        <f>I31</f>
        <v>1997.57</v>
      </c>
      <c r="C76" s="68" t="s">
        <v>146</v>
      </c>
      <c r="D76" s="69">
        <f>I62-(I51+I52)</f>
        <v>1402.8100000000002</v>
      </c>
      <c r="E76" s="67" t="s">
        <v>147</v>
      </c>
      <c r="F76" s="70">
        <f>I71</f>
        <v>142.02000000000001</v>
      </c>
      <c r="G76" s="368" t="s">
        <v>148</v>
      </c>
      <c r="H76" s="369"/>
      <c r="I76" s="71">
        <f>B76+D76+F76</f>
        <v>3542.4</v>
      </c>
    </row>
    <row r="77" spans="1:10" x14ac:dyDescent="0.25">
      <c r="A77" s="325" t="s">
        <v>18</v>
      </c>
      <c r="B77" s="326"/>
      <c r="C77" s="326"/>
      <c r="D77" s="326"/>
      <c r="E77" s="326"/>
      <c r="F77" s="326"/>
      <c r="G77" s="327"/>
      <c r="H77" s="62" t="s">
        <v>55</v>
      </c>
      <c r="I77" s="12" t="s">
        <v>56</v>
      </c>
    </row>
    <row r="78" spans="1:10" ht="91.5" customHeight="1" x14ac:dyDescent="0.25">
      <c r="A78" s="13" t="s">
        <v>2</v>
      </c>
      <c r="B78" s="282" t="s">
        <v>154</v>
      </c>
      <c r="C78" s="328"/>
      <c r="D78" s="328"/>
      <c r="E78" s="328"/>
      <c r="F78" s="328"/>
      <c r="G78" s="329"/>
      <c r="H78" s="72">
        <v>9.0749999999999997E-2</v>
      </c>
      <c r="I78" s="14">
        <f>ROUND((I76*H78),2)</f>
        <v>321.47000000000003</v>
      </c>
    </row>
    <row r="79" spans="1:10" x14ac:dyDescent="0.25">
      <c r="A79" s="13" t="s">
        <v>3</v>
      </c>
      <c r="B79" s="324" t="s">
        <v>149</v>
      </c>
      <c r="C79" s="277"/>
      <c r="D79" s="277"/>
      <c r="E79" s="277"/>
      <c r="F79" s="277"/>
      <c r="G79" s="278"/>
      <c r="H79" s="27">
        <v>2.8E-3</v>
      </c>
      <c r="I79" s="14">
        <f>ROUND((I76*H79),2)</f>
        <v>9.92</v>
      </c>
    </row>
    <row r="80" spans="1:10" ht="35.25" customHeight="1" x14ac:dyDescent="0.25">
      <c r="A80" s="13" t="s">
        <v>5</v>
      </c>
      <c r="B80" s="282" t="s">
        <v>150</v>
      </c>
      <c r="C80" s="283"/>
      <c r="D80" s="283"/>
      <c r="E80" s="283"/>
      <c r="F80" s="283"/>
      <c r="G80" s="284"/>
      <c r="H80" s="27">
        <v>2.0799999999999999E-4</v>
      </c>
      <c r="I80" s="14">
        <f>ROUND((I76*H80),2)</f>
        <v>0.74</v>
      </c>
    </row>
    <row r="81" spans="1:9" ht="36" customHeight="1" x14ac:dyDescent="0.25">
      <c r="A81" s="13" t="s">
        <v>6</v>
      </c>
      <c r="B81" s="282" t="s">
        <v>151</v>
      </c>
      <c r="C81" s="283"/>
      <c r="D81" s="283"/>
      <c r="E81" s="283"/>
      <c r="F81" s="283"/>
      <c r="G81" s="284"/>
      <c r="H81" s="27">
        <v>2.7000000000000001E-3</v>
      </c>
      <c r="I81" s="14">
        <f>ROUND((I76*H81),2)</f>
        <v>9.56</v>
      </c>
    </row>
    <row r="82" spans="1:9" ht="137.25" customHeight="1" x14ac:dyDescent="0.25">
      <c r="A82" s="13" t="s">
        <v>7</v>
      </c>
      <c r="B82" s="282" t="s">
        <v>152</v>
      </c>
      <c r="C82" s="283"/>
      <c r="D82" s="283"/>
      <c r="E82" s="283"/>
      <c r="F82" s="283"/>
      <c r="G82" s="284"/>
      <c r="H82" s="27">
        <v>1.2999999999999999E-3</v>
      </c>
      <c r="I82" s="14">
        <f>ROUND((I76*H82),2)</f>
        <v>4.6100000000000003</v>
      </c>
    </row>
    <row r="83" spans="1:9" ht="35.25" customHeight="1" x14ac:dyDescent="0.25">
      <c r="A83" s="13" t="s">
        <v>8</v>
      </c>
      <c r="B83" s="282" t="s">
        <v>153</v>
      </c>
      <c r="C83" s="283"/>
      <c r="D83" s="283"/>
      <c r="E83" s="283"/>
      <c r="F83" s="283"/>
      <c r="G83" s="284"/>
      <c r="H83" s="27">
        <v>8.3333000000000001E-3</v>
      </c>
      <c r="I83" s="14">
        <f>ROUND((I76*H83),2)</f>
        <v>29.52</v>
      </c>
    </row>
    <row r="84" spans="1:9" ht="15.75" customHeight="1" thickBot="1" x14ac:dyDescent="0.3">
      <c r="A84" s="287" t="s">
        <v>86</v>
      </c>
      <c r="B84" s="288"/>
      <c r="C84" s="288"/>
      <c r="D84" s="288"/>
      <c r="E84" s="288"/>
      <c r="F84" s="288"/>
      <c r="G84" s="289"/>
      <c r="H84" s="21">
        <f>TRUNC(SUM(H78:H83),4)</f>
        <v>0.106</v>
      </c>
      <c r="I84" s="17">
        <f>SUM(I78:I83)</f>
        <v>375.82000000000005</v>
      </c>
    </row>
    <row r="85" spans="1:9" ht="7.5" customHeight="1" thickBot="1" x14ac:dyDescent="0.3">
      <c r="A85" s="296"/>
      <c r="B85" s="297"/>
      <c r="C85" s="297"/>
      <c r="D85" s="297"/>
      <c r="E85" s="297"/>
      <c r="F85" s="297"/>
      <c r="G85" s="297"/>
      <c r="H85" s="297"/>
      <c r="I85" s="298"/>
    </row>
    <row r="86" spans="1:9" ht="15.75" customHeight="1" x14ac:dyDescent="0.25">
      <c r="A86" s="311" t="s">
        <v>21</v>
      </c>
      <c r="B86" s="291"/>
      <c r="C86" s="291"/>
      <c r="D86" s="291"/>
      <c r="E86" s="291"/>
      <c r="F86" s="291"/>
      <c r="G86" s="292"/>
      <c r="H86" s="64" t="s">
        <v>55</v>
      </c>
      <c r="I86" s="22" t="s">
        <v>56</v>
      </c>
    </row>
    <row r="87" spans="1:9" ht="15.75" customHeight="1" x14ac:dyDescent="0.25">
      <c r="A87" s="13" t="s">
        <v>2</v>
      </c>
      <c r="B87" s="324" t="s">
        <v>87</v>
      </c>
      <c r="C87" s="277"/>
      <c r="D87" s="277"/>
      <c r="E87" s="277"/>
      <c r="F87" s="277"/>
      <c r="G87" s="278"/>
      <c r="H87" s="27">
        <v>0</v>
      </c>
      <c r="I87" s="14">
        <v>0</v>
      </c>
    </row>
    <row r="88" spans="1:9" ht="16.5" thickBot="1" x14ac:dyDescent="0.3">
      <c r="A88" s="287" t="s">
        <v>88</v>
      </c>
      <c r="B88" s="288"/>
      <c r="C88" s="288"/>
      <c r="D88" s="288"/>
      <c r="E88" s="288"/>
      <c r="F88" s="288"/>
      <c r="G88" s="289"/>
      <c r="H88" s="21">
        <f>TRUNC(SUM(H87),4)</f>
        <v>0</v>
      </c>
      <c r="I88" s="17">
        <f>TRUNC(SUM(I87),2)</f>
        <v>0</v>
      </c>
    </row>
    <row r="89" spans="1:9" ht="7.5" customHeight="1" thickBot="1" x14ac:dyDescent="0.3">
      <c r="A89" s="296"/>
      <c r="B89" s="297"/>
      <c r="C89" s="297"/>
      <c r="D89" s="297"/>
      <c r="E89" s="297"/>
      <c r="F89" s="297"/>
      <c r="G89" s="297"/>
      <c r="H89" s="297"/>
      <c r="I89" s="298"/>
    </row>
    <row r="90" spans="1:9" ht="16.5" thickBot="1" x14ac:dyDescent="0.3">
      <c r="A90" s="299" t="s">
        <v>89</v>
      </c>
      <c r="B90" s="300"/>
      <c r="C90" s="300"/>
      <c r="D90" s="300"/>
      <c r="E90" s="300"/>
      <c r="F90" s="300"/>
      <c r="G90" s="300"/>
      <c r="H90" s="300"/>
      <c r="I90" s="301"/>
    </row>
    <row r="91" spans="1:9" x14ac:dyDescent="0.25">
      <c r="A91" s="311" t="s">
        <v>17</v>
      </c>
      <c r="B91" s="291"/>
      <c r="C91" s="291"/>
      <c r="D91" s="291"/>
      <c r="E91" s="291"/>
      <c r="F91" s="291"/>
      <c r="G91" s="292"/>
      <c r="H91" s="62" t="s">
        <v>55</v>
      </c>
      <c r="I91" s="12" t="s">
        <v>56</v>
      </c>
    </row>
    <row r="92" spans="1:9" x14ac:dyDescent="0.25">
      <c r="A92" s="13" t="s">
        <v>19</v>
      </c>
      <c r="B92" s="324" t="s">
        <v>20</v>
      </c>
      <c r="C92" s="277"/>
      <c r="D92" s="277"/>
      <c r="E92" s="277"/>
      <c r="F92" s="277"/>
      <c r="G92" s="278"/>
      <c r="H92" s="18"/>
      <c r="I92" s="14">
        <f>I84</f>
        <v>375.82000000000005</v>
      </c>
    </row>
    <row r="93" spans="1:9" x14ac:dyDescent="0.25">
      <c r="A93" s="13" t="s">
        <v>22</v>
      </c>
      <c r="B93" s="324" t="s">
        <v>23</v>
      </c>
      <c r="C93" s="277"/>
      <c r="D93" s="277"/>
      <c r="E93" s="277"/>
      <c r="F93" s="277"/>
      <c r="G93" s="278"/>
      <c r="H93" s="18"/>
      <c r="I93" s="14">
        <f>I88</f>
        <v>0</v>
      </c>
    </row>
    <row r="94" spans="1:9" ht="16.5" thickBot="1" x14ac:dyDescent="0.3">
      <c r="A94" s="287" t="s">
        <v>90</v>
      </c>
      <c r="B94" s="288"/>
      <c r="C94" s="288"/>
      <c r="D94" s="288"/>
      <c r="E94" s="288"/>
      <c r="F94" s="288"/>
      <c r="G94" s="289"/>
      <c r="H94" s="21"/>
      <c r="I94" s="17">
        <f>I92+I93</f>
        <v>375.82000000000005</v>
      </c>
    </row>
    <row r="95" spans="1:9" ht="7.5" customHeight="1" thickBot="1" x14ac:dyDescent="0.3">
      <c r="A95" s="296"/>
      <c r="B95" s="297"/>
      <c r="C95" s="297"/>
      <c r="D95" s="297"/>
      <c r="E95" s="297"/>
      <c r="F95" s="297"/>
      <c r="G95" s="297"/>
      <c r="H95" s="297"/>
      <c r="I95" s="298"/>
    </row>
    <row r="96" spans="1:9" ht="16.5" thickBot="1" x14ac:dyDescent="0.3">
      <c r="A96" s="299" t="s">
        <v>91</v>
      </c>
      <c r="B96" s="300"/>
      <c r="C96" s="300"/>
      <c r="D96" s="300"/>
      <c r="E96" s="300"/>
      <c r="F96" s="300"/>
      <c r="G96" s="300"/>
      <c r="H96" s="300"/>
      <c r="I96" s="301"/>
    </row>
    <row r="97" spans="1:9" x14ac:dyDescent="0.25">
      <c r="A97" s="63">
        <v>5</v>
      </c>
      <c r="B97" s="290" t="s">
        <v>92</v>
      </c>
      <c r="C97" s="291"/>
      <c r="D97" s="291"/>
      <c r="E97" s="291"/>
      <c r="F97" s="291"/>
      <c r="G97" s="292"/>
      <c r="H97" s="62"/>
      <c r="I97" s="12" t="s">
        <v>56</v>
      </c>
    </row>
    <row r="98" spans="1:9" x14ac:dyDescent="0.25">
      <c r="A98" s="13" t="s">
        <v>2</v>
      </c>
      <c r="B98" s="321" t="s">
        <v>93</v>
      </c>
      <c r="C98" s="322"/>
      <c r="D98" s="322"/>
      <c r="E98" s="322"/>
      <c r="F98" s="322"/>
      <c r="G98" s="323"/>
      <c r="H98" s="16" t="s">
        <v>74</v>
      </c>
      <c r="I98" s="14">
        <f>Uniformes!F12</f>
        <v>81.96583333333335</v>
      </c>
    </row>
    <row r="99" spans="1:9" x14ac:dyDescent="0.25">
      <c r="A99" s="13" t="s">
        <v>3</v>
      </c>
      <c r="B99" s="321" t="s">
        <v>175</v>
      </c>
      <c r="C99" s="322"/>
      <c r="D99" s="322"/>
      <c r="E99" s="322"/>
      <c r="F99" s="322"/>
      <c r="G99" s="323"/>
      <c r="H99" s="16" t="s">
        <v>74</v>
      </c>
      <c r="I99" s="121">
        <f>'Equipamentos LAVADOR'!G8</f>
        <v>40.4435</v>
      </c>
    </row>
    <row r="100" spans="1:9" x14ac:dyDescent="0.25">
      <c r="A100" s="77" t="s">
        <v>5</v>
      </c>
      <c r="B100" s="274" t="s">
        <v>165</v>
      </c>
      <c r="C100" s="275"/>
      <c r="D100" s="275"/>
      <c r="E100" s="275"/>
      <c r="F100" s="275"/>
      <c r="G100" s="275"/>
      <c r="H100" s="75" t="s">
        <v>74</v>
      </c>
      <c r="I100" s="76">
        <v>0</v>
      </c>
    </row>
    <row r="101" spans="1:9" ht="16.5" thickBot="1" x14ac:dyDescent="0.3">
      <c r="A101" s="287" t="s">
        <v>94</v>
      </c>
      <c r="B101" s="288"/>
      <c r="C101" s="288"/>
      <c r="D101" s="288"/>
      <c r="E101" s="288"/>
      <c r="F101" s="288"/>
      <c r="G101" s="289"/>
      <c r="H101" s="21" t="s">
        <v>74</v>
      </c>
      <c r="I101" s="17">
        <f>ROUND(SUM(I98:I99),2)</f>
        <v>122.41</v>
      </c>
    </row>
    <row r="102" spans="1:9" ht="8.1" customHeight="1" thickBot="1" x14ac:dyDescent="0.3">
      <c r="A102" s="296"/>
      <c r="B102" s="297"/>
      <c r="C102" s="297"/>
      <c r="D102" s="297"/>
      <c r="E102" s="297"/>
      <c r="F102" s="297"/>
      <c r="G102" s="297"/>
      <c r="H102" s="297"/>
      <c r="I102" s="298"/>
    </row>
    <row r="103" spans="1:9" ht="16.5" thickBot="1" x14ac:dyDescent="0.3">
      <c r="A103" s="299" t="s">
        <v>95</v>
      </c>
      <c r="B103" s="300"/>
      <c r="C103" s="300"/>
      <c r="D103" s="300"/>
      <c r="E103" s="300"/>
      <c r="F103" s="300"/>
      <c r="G103" s="300"/>
      <c r="H103" s="300"/>
      <c r="I103" s="301"/>
    </row>
    <row r="104" spans="1:9" x14ac:dyDescent="0.25">
      <c r="A104" s="63">
        <v>6</v>
      </c>
      <c r="B104" s="290" t="s">
        <v>96</v>
      </c>
      <c r="C104" s="291"/>
      <c r="D104" s="291"/>
      <c r="E104" s="291"/>
      <c r="F104" s="291"/>
      <c r="G104" s="292"/>
      <c r="H104" s="62" t="s">
        <v>55</v>
      </c>
      <c r="I104" s="12" t="s">
        <v>56</v>
      </c>
    </row>
    <row r="105" spans="1:9" ht="34.5" customHeight="1" x14ac:dyDescent="0.25">
      <c r="A105" s="293" t="s">
        <v>133</v>
      </c>
      <c r="B105" s="370"/>
      <c r="C105" s="370"/>
      <c r="D105" s="370"/>
      <c r="E105" s="370"/>
      <c r="F105" s="370"/>
      <c r="G105" s="370"/>
      <c r="H105" s="370"/>
      <c r="I105" s="371"/>
    </row>
    <row r="106" spans="1:9" x14ac:dyDescent="0.25">
      <c r="A106" s="13" t="s">
        <v>2</v>
      </c>
      <c r="B106" s="276" t="s">
        <v>0</v>
      </c>
      <c r="C106" s="277"/>
      <c r="D106" s="277"/>
      <c r="E106" s="277"/>
      <c r="F106" s="277"/>
      <c r="G106" s="278"/>
      <c r="H106" s="150">
        <v>0.05</v>
      </c>
      <c r="I106" s="14">
        <f>(H106*I132)</f>
        <v>238.76850000000002</v>
      </c>
    </row>
    <row r="107" spans="1:9" ht="31.5" customHeight="1" x14ac:dyDescent="0.25">
      <c r="A107" s="293" t="s">
        <v>134</v>
      </c>
      <c r="B107" s="294"/>
      <c r="C107" s="294"/>
      <c r="D107" s="294"/>
      <c r="E107" s="294"/>
      <c r="F107" s="294"/>
      <c r="G107" s="294"/>
      <c r="H107" s="294"/>
      <c r="I107" s="295"/>
    </row>
    <row r="108" spans="1:9" ht="15.75" customHeight="1" x14ac:dyDescent="0.25">
      <c r="A108" s="13" t="s">
        <v>3</v>
      </c>
      <c r="B108" s="276" t="s">
        <v>1</v>
      </c>
      <c r="C108" s="277"/>
      <c r="D108" s="277"/>
      <c r="E108" s="277"/>
      <c r="F108" s="277"/>
      <c r="G108" s="278"/>
      <c r="H108" s="150">
        <v>5.8299999999999998E-2</v>
      </c>
      <c r="I108" s="14">
        <f>(H108*(I106+I132))</f>
        <v>292.32427454999998</v>
      </c>
    </row>
    <row r="109" spans="1:9" ht="33.75" customHeight="1" x14ac:dyDescent="0.25">
      <c r="A109" s="293" t="s">
        <v>135</v>
      </c>
      <c r="B109" s="294"/>
      <c r="C109" s="294"/>
      <c r="D109" s="294"/>
      <c r="E109" s="294"/>
      <c r="F109" s="294"/>
      <c r="G109" s="294"/>
      <c r="H109" s="294"/>
      <c r="I109" s="295"/>
    </row>
    <row r="110" spans="1:9" x14ac:dyDescent="0.25">
      <c r="A110" s="13" t="s">
        <v>5</v>
      </c>
      <c r="B110" s="279" t="s">
        <v>97</v>
      </c>
      <c r="C110" s="280"/>
      <c r="D110" s="280"/>
      <c r="E110" s="280"/>
      <c r="F110" s="280"/>
      <c r="G110" s="281"/>
      <c r="H110" s="15"/>
      <c r="I110" s="28"/>
    </row>
    <row r="111" spans="1:9" ht="51.75" customHeight="1" x14ac:dyDescent="0.25">
      <c r="A111" s="13" t="s">
        <v>98</v>
      </c>
      <c r="B111" s="282" t="s">
        <v>172</v>
      </c>
      <c r="C111" s="283"/>
      <c r="D111" s="283"/>
      <c r="E111" s="283"/>
      <c r="F111" s="283"/>
      <c r="G111" s="284"/>
      <c r="H111" s="29">
        <v>6.4999999999999997E-3</v>
      </c>
      <c r="I111" s="14">
        <f>(H111*I121)</f>
        <v>37.75806239737274</v>
      </c>
    </row>
    <row r="112" spans="1:9" ht="54" customHeight="1" x14ac:dyDescent="0.25">
      <c r="A112" s="13" t="s">
        <v>99</v>
      </c>
      <c r="B112" s="282" t="s">
        <v>173</v>
      </c>
      <c r="C112" s="285"/>
      <c r="D112" s="285"/>
      <c r="E112" s="285"/>
      <c r="F112" s="285"/>
      <c r="G112" s="286"/>
      <c r="H112" s="29">
        <v>0.03</v>
      </c>
      <c r="I112" s="14">
        <f>(H112*I121)</f>
        <v>174.2679802955665</v>
      </c>
    </row>
    <row r="113" spans="1:9" ht="32.25" customHeight="1" x14ac:dyDescent="0.25">
      <c r="A113" s="13" t="s">
        <v>100</v>
      </c>
      <c r="B113" s="282" t="s">
        <v>174</v>
      </c>
      <c r="C113" s="283"/>
      <c r="D113" s="283"/>
      <c r="E113" s="283"/>
      <c r="F113" s="283"/>
      <c r="G113" s="284"/>
      <c r="H113" s="15">
        <v>0.05</v>
      </c>
      <c r="I113" s="14">
        <f>(H113*I121)</f>
        <v>290.44663382594416</v>
      </c>
    </row>
    <row r="114" spans="1:9" ht="16.5" thickBot="1" x14ac:dyDescent="0.3">
      <c r="A114" s="287" t="s">
        <v>101</v>
      </c>
      <c r="B114" s="288"/>
      <c r="C114" s="288"/>
      <c r="D114" s="288"/>
      <c r="E114" s="288"/>
      <c r="F114" s="288"/>
      <c r="G114" s="289"/>
      <c r="H114" s="30">
        <f>SUM(H106:H113)</f>
        <v>0.19480000000000003</v>
      </c>
      <c r="I114" s="17">
        <f>ROUND(SUM(I106:I113),2)</f>
        <v>1033.57</v>
      </c>
    </row>
    <row r="115" spans="1:9" ht="8.1" customHeight="1" thickBot="1" x14ac:dyDescent="0.3">
      <c r="A115" s="312"/>
      <c r="B115" s="313"/>
      <c r="C115" s="313"/>
      <c r="D115" s="313"/>
      <c r="E115" s="313"/>
      <c r="F115" s="313"/>
      <c r="G115" s="313"/>
      <c r="H115" s="313"/>
      <c r="I115" s="314"/>
    </row>
    <row r="116" spans="1:9" ht="14.25" customHeight="1" x14ac:dyDescent="0.25">
      <c r="A116" s="31" t="s">
        <v>102</v>
      </c>
      <c r="B116" s="315" t="s">
        <v>103</v>
      </c>
      <c r="C116" s="315"/>
      <c r="D116" s="315"/>
      <c r="E116" s="315"/>
      <c r="F116" s="315"/>
      <c r="G116" s="315"/>
      <c r="H116" s="32">
        <f>(H111+H112+H113)</f>
        <v>8.6499999999999994E-2</v>
      </c>
      <c r="I116" s="33"/>
    </row>
    <row r="117" spans="1:9" ht="12.75" customHeight="1" x14ac:dyDescent="0.25">
      <c r="A117" s="60"/>
      <c r="B117" s="316">
        <v>100</v>
      </c>
      <c r="C117" s="316"/>
      <c r="D117" s="316"/>
      <c r="E117" s="316"/>
      <c r="F117" s="316"/>
      <c r="G117" s="316"/>
      <c r="H117" s="19"/>
      <c r="I117" s="34"/>
    </row>
    <row r="118" spans="1:9" ht="19.149999999999999" customHeight="1" x14ac:dyDescent="0.25">
      <c r="A118" s="35"/>
      <c r="B118" s="66"/>
      <c r="C118" s="66"/>
      <c r="D118" s="66"/>
      <c r="E118" s="66"/>
      <c r="F118" s="66"/>
      <c r="G118" s="66"/>
      <c r="H118" s="19"/>
      <c r="I118" s="34"/>
    </row>
    <row r="119" spans="1:9" ht="15" customHeight="1" x14ac:dyDescent="0.25">
      <c r="A119" s="60" t="s">
        <v>104</v>
      </c>
      <c r="B119" s="316" t="s">
        <v>105</v>
      </c>
      <c r="C119" s="316"/>
      <c r="D119" s="316"/>
      <c r="E119" s="316"/>
      <c r="F119" s="316"/>
      <c r="G119" s="316"/>
      <c r="H119" s="19"/>
      <c r="I119" s="36">
        <f>ROUND(I132+I106+I108,2)</f>
        <v>5306.46</v>
      </c>
    </row>
    <row r="120" spans="1:9" ht="6.75" customHeight="1" x14ac:dyDescent="0.25">
      <c r="A120" s="60"/>
      <c r="B120" s="66"/>
      <c r="C120" s="66"/>
      <c r="D120" s="66"/>
      <c r="E120" s="66"/>
      <c r="F120" s="66"/>
      <c r="G120" s="66"/>
      <c r="H120" s="19"/>
      <c r="I120" s="34"/>
    </row>
    <row r="121" spans="1:9" ht="14.25" customHeight="1" x14ac:dyDescent="0.25">
      <c r="A121" s="60" t="s">
        <v>106</v>
      </c>
      <c r="B121" s="316" t="s">
        <v>107</v>
      </c>
      <c r="C121" s="316"/>
      <c r="D121" s="316"/>
      <c r="E121" s="316"/>
      <c r="F121" s="316"/>
      <c r="G121" s="316"/>
      <c r="H121" s="19"/>
      <c r="I121" s="37">
        <f>(I119/(1-H116))</f>
        <v>5808.9326765188835</v>
      </c>
    </row>
    <row r="122" spans="1:9" ht="19.899999999999999" customHeight="1" x14ac:dyDescent="0.25">
      <c r="A122" s="60"/>
      <c r="B122" s="66"/>
      <c r="C122" s="66"/>
      <c r="D122" s="66"/>
      <c r="E122" s="66"/>
      <c r="F122" s="66"/>
      <c r="G122" s="66"/>
      <c r="H122" s="19"/>
      <c r="I122" s="34"/>
    </row>
    <row r="123" spans="1:9" ht="13.5" customHeight="1" thickBot="1" x14ac:dyDescent="0.3">
      <c r="A123" s="38"/>
      <c r="B123" s="317" t="s">
        <v>108</v>
      </c>
      <c r="C123" s="317"/>
      <c r="D123" s="317"/>
      <c r="E123" s="317"/>
      <c r="F123" s="317"/>
      <c r="G123" s="317"/>
      <c r="H123" s="39"/>
      <c r="I123" s="40">
        <f>(I121-I119)</f>
        <v>502.47267651888342</v>
      </c>
    </row>
    <row r="124" spans="1:9" ht="28.5" customHeight="1" thickBot="1" x14ac:dyDescent="0.3">
      <c r="A124" s="308" t="s">
        <v>136</v>
      </c>
      <c r="B124" s="309"/>
      <c r="C124" s="309"/>
      <c r="D124" s="309"/>
      <c r="E124" s="309"/>
      <c r="F124" s="309"/>
      <c r="G124" s="309"/>
      <c r="H124" s="309"/>
      <c r="I124" s="310"/>
    </row>
    <row r="125" spans="1:9" ht="16.5" thickBot="1" x14ac:dyDescent="0.3">
      <c r="A125" s="299" t="s">
        <v>109</v>
      </c>
      <c r="B125" s="300"/>
      <c r="C125" s="300"/>
      <c r="D125" s="300"/>
      <c r="E125" s="300"/>
      <c r="F125" s="300"/>
      <c r="G125" s="300"/>
      <c r="H125" s="300"/>
      <c r="I125" s="301"/>
    </row>
    <row r="126" spans="1:9" x14ac:dyDescent="0.25">
      <c r="A126" s="311" t="s">
        <v>110</v>
      </c>
      <c r="B126" s="291"/>
      <c r="C126" s="291"/>
      <c r="D126" s="291"/>
      <c r="E126" s="291"/>
      <c r="F126" s="291"/>
      <c r="G126" s="291"/>
      <c r="H126" s="292"/>
      <c r="I126" s="12" t="s">
        <v>56</v>
      </c>
    </row>
    <row r="127" spans="1:9" x14ac:dyDescent="0.25">
      <c r="A127" s="5" t="s">
        <v>2</v>
      </c>
      <c r="B127" s="302" t="str">
        <f>A23</f>
        <v>MÓDULO 1 - COMPOSIÇÃO DA REMUNERAÇÃO</v>
      </c>
      <c r="C127" s="303"/>
      <c r="D127" s="303"/>
      <c r="E127" s="303"/>
      <c r="F127" s="303"/>
      <c r="G127" s="303"/>
      <c r="H127" s="304"/>
      <c r="I127" s="14">
        <f>I31</f>
        <v>1997.57</v>
      </c>
    </row>
    <row r="128" spans="1:9" x14ac:dyDescent="0.25">
      <c r="A128" s="5" t="s">
        <v>3</v>
      </c>
      <c r="B128" s="302" t="str">
        <f>A33</f>
        <v>MÓDULO 2 – ENCARGOS E BENEFÍCIOS ANUAIS, MENSAIS E DIÁRIOS</v>
      </c>
      <c r="C128" s="303"/>
      <c r="D128" s="303"/>
      <c r="E128" s="303"/>
      <c r="F128" s="303"/>
      <c r="G128" s="303"/>
      <c r="H128" s="304"/>
      <c r="I128" s="14">
        <f>I62</f>
        <v>2137.5500000000002</v>
      </c>
    </row>
    <row r="129" spans="1:12" x14ac:dyDescent="0.25">
      <c r="A129" s="5" t="s">
        <v>5</v>
      </c>
      <c r="B129" s="302" t="str">
        <f>A64</f>
        <v>MÓDULO 3 – PROVISÃO PARA RESCISÃO</v>
      </c>
      <c r="C129" s="303"/>
      <c r="D129" s="303"/>
      <c r="E129" s="303"/>
      <c r="F129" s="303"/>
      <c r="G129" s="303"/>
      <c r="H129" s="304"/>
      <c r="I129" s="14">
        <f>I71</f>
        <v>142.02000000000001</v>
      </c>
    </row>
    <row r="130" spans="1:12" ht="15.75" customHeight="1" x14ac:dyDescent="0.25">
      <c r="A130" s="41" t="s">
        <v>6</v>
      </c>
      <c r="B130" s="302" t="str">
        <f>A73</f>
        <v>MÓDULO 4 – CUSTO DE REPOSIÇÃO DO PROFISSIONAL AUSENTE</v>
      </c>
      <c r="C130" s="303"/>
      <c r="D130" s="303"/>
      <c r="E130" s="303"/>
      <c r="F130" s="303"/>
      <c r="G130" s="303"/>
      <c r="H130" s="304"/>
      <c r="I130" s="14">
        <f>I94</f>
        <v>375.82000000000005</v>
      </c>
    </row>
    <row r="131" spans="1:12" ht="15.75" customHeight="1" x14ac:dyDescent="0.25">
      <c r="A131" s="41" t="s">
        <v>7</v>
      </c>
      <c r="B131" s="302" t="str">
        <f>A96</f>
        <v>MÓDULO 5 – INSUMOS DIVERSOS</v>
      </c>
      <c r="C131" s="303"/>
      <c r="D131" s="303"/>
      <c r="E131" s="303"/>
      <c r="F131" s="303"/>
      <c r="G131" s="303"/>
      <c r="H131" s="304"/>
      <c r="I131" s="14">
        <f>I101</f>
        <v>122.41</v>
      </c>
    </row>
    <row r="132" spans="1:12" x14ac:dyDescent="0.25">
      <c r="A132" s="13"/>
      <c r="B132" s="318" t="s">
        <v>111</v>
      </c>
      <c r="C132" s="319"/>
      <c r="D132" s="319"/>
      <c r="E132" s="319"/>
      <c r="F132" s="319"/>
      <c r="G132" s="319"/>
      <c r="H132" s="320"/>
      <c r="I132" s="42">
        <f>ROUND(SUM(I127:I131),2)</f>
        <v>4775.37</v>
      </c>
    </row>
    <row r="133" spans="1:12" ht="15.75" customHeight="1" x14ac:dyDescent="0.25">
      <c r="A133" s="41" t="s">
        <v>8</v>
      </c>
      <c r="B133" s="302" t="str">
        <f>A103</f>
        <v>MÓDULO 6 – CUSTOS INDIRETOS, TRIBUTOS E LUCRO</v>
      </c>
      <c r="C133" s="303"/>
      <c r="D133" s="303"/>
      <c r="E133" s="303"/>
      <c r="F133" s="303"/>
      <c r="G133" s="303"/>
      <c r="H133" s="304"/>
      <c r="I133" s="14">
        <f>I114</f>
        <v>1033.57</v>
      </c>
    </row>
    <row r="134" spans="1:12" ht="16.5" thickBot="1" x14ac:dyDescent="0.3">
      <c r="A134" s="305" t="s">
        <v>112</v>
      </c>
      <c r="B134" s="306"/>
      <c r="C134" s="306"/>
      <c r="D134" s="306"/>
      <c r="E134" s="306"/>
      <c r="F134" s="306"/>
      <c r="G134" s="306"/>
      <c r="H134" s="307"/>
      <c r="I134" s="43">
        <f>ROUND(SUM(I132:I133),2)</f>
        <v>5808.94</v>
      </c>
      <c r="K134" s="46"/>
      <c r="L134" s="23"/>
    </row>
  </sheetData>
  <mergeCells count="133">
    <mergeCell ref="A1:I1"/>
    <mergeCell ref="A74:I74"/>
    <mergeCell ref="A75:I75"/>
    <mergeCell ref="G76:H76"/>
    <mergeCell ref="A105:I105"/>
    <mergeCell ref="A109:I109"/>
    <mergeCell ref="A2:I2"/>
    <mergeCell ref="A3:I3"/>
    <mergeCell ref="A9:I9"/>
    <mergeCell ref="A12:I12"/>
    <mergeCell ref="B41:G41"/>
    <mergeCell ref="B42:G42"/>
    <mergeCell ref="B27:G27"/>
    <mergeCell ref="B28:G28"/>
    <mergeCell ref="A32:I32"/>
    <mergeCell ref="A33:I33"/>
    <mergeCell ref="B59:H59"/>
    <mergeCell ref="B60:H60"/>
    <mergeCell ref="B61:H61"/>
    <mergeCell ref="B51:G51"/>
    <mergeCell ref="B54:G54"/>
    <mergeCell ref="B80:G80"/>
    <mergeCell ref="A63:I63"/>
    <mergeCell ref="B45:G45"/>
    <mergeCell ref="B46:G46"/>
    <mergeCell ref="B47:G47"/>
    <mergeCell ref="A48:G48"/>
    <mergeCell ref="A39:G39"/>
    <mergeCell ref="B40:G40"/>
    <mergeCell ref="B43:G43"/>
    <mergeCell ref="B35:G35"/>
    <mergeCell ref="B36:G36"/>
    <mergeCell ref="B44:G44"/>
    <mergeCell ref="A23:I23"/>
    <mergeCell ref="B24:G24"/>
    <mergeCell ref="B25:G25"/>
    <mergeCell ref="A34:G34"/>
    <mergeCell ref="A13:I13"/>
    <mergeCell ref="A14:I14"/>
    <mergeCell ref="B26:G26"/>
    <mergeCell ref="A37:G37"/>
    <mergeCell ref="A38:I38"/>
    <mergeCell ref="B29:G29"/>
    <mergeCell ref="B30:G30"/>
    <mergeCell ref="A31:H31"/>
    <mergeCell ref="B7:H7"/>
    <mergeCell ref="A8:I8"/>
    <mergeCell ref="B4:H4"/>
    <mergeCell ref="B5:H5"/>
    <mergeCell ref="B6:H6"/>
    <mergeCell ref="B21:H21"/>
    <mergeCell ref="A22:I22"/>
    <mergeCell ref="A15:I15"/>
    <mergeCell ref="A16:I16"/>
    <mergeCell ref="B20:H20"/>
    <mergeCell ref="G10:H10"/>
    <mergeCell ref="G11:H11"/>
    <mergeCell ref="A10:F10"/>
    <mergeCell ref="A11:F11"/>
    <mergeCell ref="B17:H17"/>
    <mergeCell ref="B18:H18"/>
    <mergeCell ref="B19:H19"/>
    <mergeCell ref="A56:I56"/>
    <mergeCell ref="A57:I57"/>
    <mergeCell ref="A58:H58"/>
    <mergeCell ref="A55:H55"/>
    <mergeCell ref="B68:G68"/>
    <mergeCell ref="B69:G69"/>
    <mergeCell ref="A49:I49"/>
    <mergeCell ref="A50:G50"/>
    <mergeCell ref="B70:G70"/>
    <mergeCell ref="B52:G52"/>
    <mergeCell ref="B53:G53"/>
    <mergeCell ref="A71:G71"/>
    <mergeCell ref="A72:I72"/>
    <mergeCell ref="A62:H62"/>
    <mergeCell ref="B65:G65"/>
    <mergeCell ref="B66:G66"/>
    <mergeCell ref="B67:G67"/>
    <mergeCell ref="A64:I64"/>
    <mergeCell ref="B82:G82"/>
    <mergeCell ref="B83:G83"/>
    <mergeCell ref="A84:G84"/>
    <mergeCell ref="A86:G86"/>
    <mergeCell ref="B87:G87"/>
    <mergeCell ref="A73:I73"/>
    <mergeCell ref="A77:G77"/>
    <mergeCell ref="B78:G78"/>
    <mergeCell ref="B79:G79"/>
    <mergeCell ref="B81:G81"/>
    <mergeCell ref="A85:I85"/>
    <mergeCell ref="A96:I96"/>
    <mergeCell ref="B97:G97"/>
    <mergeCell ref="B98:G98"/>
    <mergeCell ref="B99:G99"/>
    <mergeCell ref="A88:G88"/>
    <mergeCell ref="A90:I90"/>
    <mergeCell ref="A91:G91"/>
    <mergeCell ref="B92:G92"/>
    <mergeCell ref="B93:G93"/>
    <mergeCell ref="A89:I89"/>
    <mergeCell ref="A94:G94"/>
    <mergeCell ref="A95:I95"/>
    <mergeCell ref="B133:H133"/>
    <mergeCell ref="A134:H134"/>
    <mergeCell ref="A124:I124"/>
    <mergeCell ref="A125:I125"/>
    <mergeCell ref="A126:H126"/>
    <mergeCell ref="B127:H127"/>
    <mergeCell ref="B128:H128"/>
    <mergeCell ref="A114:G114"/>
    <mergeCell ref="A115:I115"/>
    <mergeCell ref="B116:G116"/>
    <mergeCell ref="B117:G117"/>
    <mergeCell ref="B119:G119"/>
    <mergeCell ref="B121:G121"/>
    <mergeCell ref="B123:G123"/>
    <mergeCell ref="B129:H129"/>
    <mergeCell ref="B130:H130"/>
    <mergeCell ref="B131:H131"/>
    <mergeCell ref="B132:H132"/>
    <mergeCell ref="B100:G100"/>
    <mergeCell ref="B106:G106"/>
    <mergeCell ref="B108:G108"/>
    <mergeCell ref="B110:G110"/>
    <mergeCell ref="B111:G111"/>
    <mergeCell ref="B112:G112"/>
    <mergeCell ref="B113:G113"/>
    <mergeCell ref="A101:G101"/>
    <mergeCell ref="B104:G104"/>
    <mergeCell ref="A107:I107"/>
    <mergeCell ref="A102:I102"/>
    <mergeCell ref="A103:I10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09DE1-BC7D-413F-8FA5-CF7DAE426F71}">
  <sheetPr>
    <tabColor rgb="FFFFFF00"/>
  </sheetPr>
  <dimension ref="A1:G29"/>
  <sheetViews>
    <sheetView workbookViewId="0">
      <selection activeCell="A15" sqref="A15:G15"/>
    </sheetView>
  </sheetViews>
  <sheetFormatPr defaultColWidth="9.140625" defaultRowHeight="12.75" x14ac:dyDescent="0.2"/>
  <cols>
    <col min="1" max="1" width="7.85546875" style="84" customWidth="1"/>
    <col min="2" max="2" width="38.140625" style="84" customWidth="1"/>
    <col min="3" max="3" width="11.7109375" style="84" bestFit="1" customWidth="1"/>
    <col min="4" max="4" width="9.42578125" style="84" bestFit="1" customWidth="1"/>
    <col min="5" max="5" width="10.5703125" style="84" customWidth="1"/>
    <col min="6" max="6" width="9.7109375" style="84" customWidth="1"/>
    <col min="7" max="7" width="13.140625" style="84" customWidth="1"/>
    <col min="8" max="16384" width="9.140625" style="84"/>
  </cols>
  <sheetData>
    <row r="1" spans="1:7" x14ac:dyDescent="0.2">
      <c r="A1" s="83"/>
      <c r="B1" s="83"/>
      <c r="C1" s="83"/>
      <c r="D1" s="83"/>
      <c r="E1" s="83"/>
      <c r="F1" s="83"/>
      <c r="G1" s="83"/>
    </row>
    <row r="2" spans="1:7" ht="21" customHeight="1" x14ac:dyDescent="0.2">
      <c r="A2" s="387" t="s">
        <v>159</v>
      </c>
      <c r="B2" s="388"/>
      <c r="C2" s="389"/>
      <c r="D2" s="389"/>
      <c r="E2" s="389"/>
      <c r="F2" s="389"/>
      <c r="G2" s="390"/>
    </row>
    <row r="3" spans="1:7" ht="45" x14ac:dyDescent="0.2">
      <c r="A3" s="123" t="s">
        <v>160</v>
      </c>
      <c r="B3" s="123" t="s">
        <v>161</v>
      </c>
      <c r="C3" s="124" t="s">
        <v>169</v>
      </c>
      <c r="D3" s="124" t="s">
        <v>162</v>
      </c>
      <c r="E3" s="124" t="s">
        <v>167</v>
      </c>
      <c r="F3" s="124" t="s">
        <v>166</v>
      </c>
      <c r="G3" s="124" t="s">
        <v>163</v>
      </c>
    </row>
    <row r="4" spans="1:7" ht="30" x14ac:dyDescent="0.2">
      <c r="A4" s="125">
        <v>1</v>
      </c>
      <c r="B4" s="126" t="s">
        <v>226</v>
      </c>
      <c r="C4" s="127" t="s">
        <v>169</v>
      </c>
      <c r="D4" s="125">
        <v>1</v>
      </c>
      <c r="E4" s="127">
        <v>417.52</v>
      </c>
      <c r="F4" s="128">
        <v>60</v>
      </c>
      <c r="G4" s="127">
        <f>E4/F4</f>
        <v>6.9586666666666668</v>
      </c>
    </row>
    <row r="5" spans="1:7" ht="30" x14ac:dyDescent="0.2">
      <c r="A5" s="125">
        <v>2</v>
      </c>
      <c r="B5" s="129" t="s">
        <v>227</v>
      </c>
      <c r="C5" s="127" t="s">
        <v>169</v>
      </c>
      <c r="D5" s="125">
        <v>1</v>
      </c>
      <c r="E5" s="127">
        <v>457.27</v>
      </c>
      <c r="F5" s="128">
        <v>60</v>
      </c>
      <c r="G5" s="127">
        <f t="shared" ref="G5:G7" si="0">E5/F5</f>
        <v>7.6211666666666664</v>
      </c>
    </row>
    <row r="6" spans="1:7" ht="30" x14ac:dyDescent="0.2">
      <c r="A6" s="125">
        <v>3</v>
      </c>
      <c r="B6" s="126" t="s">
        <v>228</v>
      </c>
      <c r="C6" s="127" t="s">
        <v>169</v>
      </c>
      <c r="D6" s="125">
        <v>1</v>
      </c>
      <c r="E6" s="127">
        <v>164.48</v>
      </c>
      <c r="F6" s="128">
        <v>12</v>
      </c>
      <c r="G6" s="127">
        <f t="shared" si="0"/>
        <v>13.706666666666665</v>
      </c>
    </row>
    <row r="7" spans="1:7" ht="45" x14ac:dyDescent="0.2">
      <c r="A7" s="125">
        <v>4</v>
      </c>
      <c r="B7" s="126" t="s">
        <v>229</v>
      </c>
      <c r="C7" s="127" t="s">
        <v>169</v>
      </c>
      <c r="D7" s="125">
        <v>1</v>
      </c>
      <c r="E7" s="127">
        <v>729.42</v>
      </c>
      <c r="F7" s="128">
        <v>60</v>
      </c>
      <c r="G7" s="127">
        <f t="shared" si="0"/>
        <v>12.157</v>
      </c>
    </row>
    <row r="8" spans="1:7" ht="15" x14ac:dyDescent="0.2">
      <c r="A8" s="391" t="s">
        <v>171</v>
      </c>
      <c r="B8" s="392"/>
      <c r="C8" s="392"/>
      <c r="D8" s="392"/>
      <c r="E8" s="392"/>
      <c r="F8" s="393"/>
      <c r="G8" s="130">
        <f>SUM(G4:G7)</f>
        <v>40.4435</v>
      </c>
    </row>
    <row r="9" spans="1:7" x14ac:dyDescent="0.2">
      <c r="A9" s="83"/>
      <c r="B9" s="90"/>
      <c r="C9" s="90"/>
      <c r="D9" s="90"/>
      <c r="E9" s="90"/>
      <c r="F9" s="90"/>
      <c r="G9" s="91"/>
    </row>
    <row r="10" spans="1:7" ht="15" customHeight="1" x14ac:dyDescent="0.2">
      <c r="A10" s="394"/>
      <c r="B10" s="394"/>
      <c r="C10" s="394"/>
      <c r="D10" s="394"/>
      <c r="E10" s="394"/>
      <c r="F10" s="394"/>
      <c r="G10" s="394"/>
    </row>
    <row r="11" spans="1:7" ht="15.75" customHeight="1" x14ac:dyDescent="0.2">
      <c r="A11" s="372" t="s">
        <v>164</v>
      </c>
      <c r="B11" s="373"/>
      <c r="C11" s="373"/>
      <c r="D11" s="373"/>
      <c r="E11" s="373"/>
      <c r="F11" s="373"/>
      <c r="G11" s="374"/>
    </row>
    <row r="12" spans="1:7" ht="12.75" customHeight="1" x14ac:dyDescent="0.2">
      <c r="A12" s="375" t="s">
        <v>395</v>
      </c>
      <c r="B12" s="376"/>
      <c r="C12" s="376"/>
      <c r="D12" s="376"/>
      <c r="E12" s="376"/>
      <c r="F12" s="376"/>
      <c r="G12" s="377"/>
    </row>
    <row r="13" spans="1:7" ht="70.5" customHeight="1" x14ac:dyDescent="0.2">
      <c r="A13" s="378"/>
      <c r="B13" s="379"/>
      <c r="C13" s="379"/>
      <c r="D13" s="379"/>
      <c r="E13" s="379"/>
      <c r="F13" s="379"/>
      <c r="G13" s="380"/>
    </row>
    <row r="14" spans="1:7" x14ac:dyDescent="0.2">
      <c r="A14" s="381"/>
      <c r="B14" s="382"/>
      <c r="C14" s="382"/>
      <c r="D14" s="382"/>
      <c r="E14" s="382"/>
      <c r="F14" s="382"/>
      <c r="G14" s="383"/>
    </row>
    <row r="15" spans="1:7" ht="52.5" customHeight="1" x14ac:dyDescent="0.2">
      <c r="A15" s="384" t="s">
        <v>190</v>
      </c>
      <c r="B15" s="385"/>
      <c r="C15" s="385"/>
      <c r="D15" s="385"/>
      <c r="E15" s="385"/>
      <c r="F15" s="385"/>
      <c r="G15" s="386"/>
    </row>
    <row r="16" spans="1:7" x14ac:dyDescent="0.2">
      <c r="A16" s="122"/>
      <c r="B16" s="122"/>
      <c r="C16" s="122"/>
      <c r="D16" s="122"/>
      <c r="E16" s="122"/>
      <c r="F16" s="122"/>
      <c r="G16" s="122"/>
    </row>
    <row r="19" ht="38.25" customHeight="1" x14ac:dyDescent="0.2"/>
    <row r="20" ht="21" customHeight="1" x14ac:dyDescent="0.2"/>
    <row r="21" ht="39.75" customHeight="1" x14ac:dyDescent="0.2"/>
    <row r="22" ht="50.25" customHeight="1" x14ac:dyDescent="0.2"/>
    <row r="23" ht="48" customHeight="1" x14ac:dyDescent="0.2"/>
    <row r="24" ht="16.5" customHeight="1" x14ac:dyDescent="0.2"/>
    <row r="25" ht="18.75" customHeight="1" x14ac:dyDescent="0.2"/>
    <row r="26" ht="60" customHeight="1" x14ac:dyDescent="0.2"/>
    <row r="27" ht="15" customHeight="1" x14ac:dyDescent="0.2"/>
    <row r="29" ht="30.75" customHeight="1" x14ac:dyDescent="0.2"/>
  </sheetData>
  <mergeCells count="6">
    <mergeCell ref="A11:G11"/>
    <mergeCell ref="A12:G14"/>
    <mergeCell ref="A15:G15"/>
    <mergeCell ref="A2:G2"/>
    <mergeCell ref="A8:F8"/>
    <mergeCell ref="A10:G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40A51-3F5E-4991-B075-A13DBE391861}">
  <sheetPr>
    <tabColor rgb="FFFFFF00"/>
  </sheetPr>
  <dimension ref="A2:F26"/>
  <sheetViews>
    <sheetView workbookViewId="0">
      <selection activeCell="F19" sqref="F19"/>
    </sheetView>
  </sheetViews>
  <sheetFormatPr defaultRowHeight="15" x14ac:dyDescent="0.25"/>
  <cols>
    <col min="2" max="2" width="58.140625" customWidth="1"/>
    <col min="3" max="3" width="12.7109375" customWidth="1"/>
    <col min="4" max="4" width="14.140625" customWidth="1"/>
    <col min="5" max="6" width="14" customWidth="1"/>
  </cols>
  <sheetData>
    <row r="2" spans="1:6" ht="60" x14ac:dyDescent="0.25">
      <c r="A2" s="105" t="s">
        <v>29</v>
      </c>
      <c r="B2" s="106" t="s">
        <v>202</v>
      </c>
      <c r="C2" s="105" t="s">
        <v>179</v>
      </c>
      <c r="D2" s="107" t="s">
        <v>203</v>
      </c>
      <c r="E2" s="108" t="s">
        <v>204</v>
      </c>
      <c r="F2" s="108" t="s">
        <v>205</v>
      </c>
    </row>
    <row r="3" spans="1:6" x14ac:dyDescent="0.25">
      <c r="A3" s="398" t="s">
        <v>206</v>
      </c>
      <c r="B3" s="399"/>
      <c r="C3" s="399"/>
      <c r="D3" s="399"/>
      <c r="E3" s="399"/>
      <c r="F3" s="400"/>
    </row>
    <row r="4" spans="1:6" x14ac:dyDescent="0.25">
      <c r="A4" s="109">
        <v>1</v>
      </c>
      <c r="B4" s="110" t="s">
        <v>216</v>
      </c>
      <c r="C4" s="111" t="s">
        <v>182</v>
      </c>
      <c r="D4" s="111">
        <v>36</v>
      </c>
      <c r="E4" s="112">
        <v>11.93</v>
      </c>
      <c r="F4" s="112">
        <f>E4*D4</f>
        <v>429.48</v>
      </c>
    </row>
    <row r="5" spans="1:6" x14ac:dyDescent="0.25">
      <c r="A5" s="113">
        <v>2</v>
      </c>
      <c r="B5" s="114" t="s">
        <v>221</v>
      </c>
      <c r="C5" s="115" t="s">
        <v>183</v>
      </c>
      <c r="D5" s="115">
        <v>12</v>
      </c>
      <c r="E5" s="112">
        <v>48.27</v>
      </c>
      <c r="F5" s="112">
        <f t="shared" ref="F5:F17" si="0">E5*D5</f>
        <v>579.24</v>
      </c>
    </row>
    <row r="6" spans="1:6" x14ac:dyDescent="0.25">
      <c r="A6" s="113">
        <v>3</v>
      </c>
      <c r="B6" s="110" t="s">
        <v>209</v>
      </c>
      <c r="C6" s="111" t="s">
        <v>38</v>
      </c>
      <c r="D6" s="111">
        <v>12</v>
      </c>
      <c r="E6" s="112">
        <v>2.8</v>
      </c>
      <c r="F6" s="112">
        <f t="shared" si="0"/>
        <v>33.599999999999994</v>
      </c>
    </row>
    <row r="7" spans="1:6" x14ac:dyDescent="0.25">
      <c r="A7" s="113">
        <v>4</v>
      </c>
      <c r="B7" s="114" t="s">
        <v>217</v>
      </c>
      <c r="C7" s="115" t="s">
        <v>38</v>
      </c>
      <c r="D7" s="115">
        <v>6</v>
      </c>
      <c r="E7" s="112">
        <v>124.78</v>
      </c>
      <c r="F7" s="112">
        <f t="shared" si="0"/>
        <v>748.68000000000006</v>
      </c>
    </row>
    <row r="8" spans="1:6" x14ac:dyDescent="0.25">
      <c r="A8" s="113">
        <v>5</v>
      </c>
      <c r="B8" s="110" t="s">
        <v>210</v>
      </c>
      <c r="C8" s="111" t="s">
        <v>38</v>
      </c>
      <c r="D8" s="111">
        <v>48</v>
      </c>
      <c r="E8" s="112">
        <v>1.72</v>
      </c>
      <c r="F8" s="112">
        <f t="shared" si="0"/>
        <v>82.56</v>
      </c>
    </row>
    <row r="9" spans="1:6" x14ac:dyDescent="0.25">
      <c r="A9" s="113">
        <v>6</v>
      </c>
      <c r="B9" s="116" t="s">
        <v>222</v>
      </c>
      <c r="C9" s="117" t="s">
        <v>183</v>
      </c>
      <c r="D9" s="117">
        <v>12</v>
      </c>
      <c r="E9" s="112">
        <v>39.92</v>
      </c>
      <c r="F9" s="112">
        <f t="shared" si="0"/>
        <v>479.04</v>
      </c>
    </row>
    <row r="10" spans="1:6" x14ac:dyDescent="0.25">
      <c r="A10" s="113">
        <v>7</v>
      </c>
      <c r="B10" s="110" t="s">
        <v>212</v>
      </c>
      <c r="C10" s="111" t="s">
        <v>183</v>
      </c>
      <c r="D10" s="111">
        <v>12</v>
      </c>
      <c r="E10" s="112">
        <v>54.84</v>
      </c>
      <c r="F10" s="112">
        <f t="shared" si="0"/>
        <v>658.08</v>
      </c>
    </row>
    <row r="11" spans="1:6" x14ac:dyDescent="0.25">
      <c r="A11" s="113">
        <v>8</v>
      </c>
      <c r="B11" s="114" t="s">
        <v>223</v>
      </c>
      <c r="C11" s="115" t="s">
        <v>38</v>
      </c>
      <c r="D11" s="115">
        <v>24</v>
      </c>
      <c r="E11" s="112">
        <v>2.5499999999999998</v>
      </c>
      <c r="F11" s="112">
        <f t="shared" si="0"/>
        <v>61.199999999999996</v>
      </c>
    </row>
    <row r="12" spans="1:6" x14ac:dyDescent="0.25">
      <c r="A12" s="113">
        <v>9</v>
      </c>
      <c r="B12" s="110" t="s">
        <v>215</v>
      </c>
      <c r="C12" s="111" t="s">
        <v>181</v>
      </c>
      <c r="D12" s="111">
        <v>12</v>
      </c>
      <c r="E12" s="112">
        <v>2.98</v>
      </c>
      <c r="F12" s="112">
        <f t="shared" si="0"/>
        <v>35.76</v>
      </c>
    </row>
    <row r="13" spans="1:6" ht="28.5" x14ac:dyDescent="0.25">
      <c r="A13" s="113">
        <v>10</v>
      </c>
      <c r="B13" s="114" t="s">
        <v>211</v>
      </c>
      <c r="C13" s="115" t="s">
        <v>182</v>
      </c>
      <c r="D13" s="115">
        <v>36</v>
      </c>
      <c r="E13" s="112">
        <v>11.4</v>
      </c>
      <c r="F13" s="112">
        <f t="shared" si="0"/>
        <v>410.40000000000003</v>
      </c>
    </row>
    <row r="14" spans="1:6" x14ac:dyDescent="0.25">
      <c r="A14" s="113">
        <v>11</v>
      </c>
      <c r="B14" s="110" t="s">
        <v>224</v>
      </c>
      <c r="C14" s="111" t="s">
        <v>38</v>
      </c>
      <c r="D14" s="111">
        <v>24</v>
      </c>
      <c r="E14" s="112">
        <v>3.57</v>
      </c>
      <c r="F14" s="112">
        <f t="shared" si="0"/>
        <v>85.679999999999993</v>
      </c>
    </row>
    <row r="15" spans="1:6" x14ac:dyDescent="0.25">
      <c r="A15" s="113">
        <v>12</v>
      </c>
      <c r="B15" s="114" t="s">
        <v>208</v>
      </c>
      <c r="C15" s="115" t="s">
        <v>225</v>
      </c>
      <c r="D15" s="115">
        <v>12</v>
      </c>
      <c r="E15" s="112">
        <v>6.09</v>
      </c>
      <c r="F15" s="112">
        <f t="shared" si="0"/>
        <v>73.08</v>
      </c>
    </row>
    <row r="16" spans="1:6" x14ac:dyDescent="0.25">
      <c r="A16" s="113">
        <v>13</v>
      </c>
      <c r="B16" s="110" t="s">
        <v>214</v>
      </c>
      <c r="C16" s="111" t="s">
        <v>38</v>
      </c>
      <c r="D16" s="111">
        <v>12</v>
      </c>
      <c r="E16" s="112">
        <v>2.4</v>
      </c>
      <c r="F16" s="112">
        <f t="shared" si="0"/>
        <v>28.799999999999997</v>
      </c>
    </row>
    <row r="17" spans="1:6" ht="28.5" x14ac:dyDescent="0.25">
      <c r="A17" s="118">
        <v>14</v>
      </c>
      <c r="B17" s="116" t="s">
        <v>207</v>
      </c>
      <c r="C17" s="117" t="s">
        <v>183</v>
      </c>
      <c r="D17" s="117">
        <v>12</v>
      </c>
      <c r="E17" s="112">
        <v>33.15</v>
      </c>
      <c r="F17" s="112">
        <f t="shared" si="0"/>
        <v>397.79999999999995</v>
      </c>
    </row>
    <row r="18" spans="1:6" x14ac:dyDescent="0.25">
      <c r="A18" s="118">
        <v>15</v>
      </c>
      <c r="B18" s="110" t="s">
        <v>213</v>
      </c>
      <c r="C18" s="111" t="s">
        <v>38</v>
      </c>
      <c r="D18" s="111">
        <v>36</v>
      </c>
      <c r="E18" s="112">
        <v>9.9</v>
      </c>
      <c r="F18" s="112">
        <f t="shared" ref="F18" si="1">E18*D18</f>
        <v>356.40000000000003</v>
      </c>
    </row>
    <row r="19" spans="1:6" x14ac:dyDescent="0.25">
      <c r="A19" s="395" t="s">
        <v>218</v>
      </c>
      <c r="B19" s="396"/>
      <c r="C19" s="396"/>
      <c r="D19" s="396"/>
      <c r="E19" s="397"/>
      <c r="F19" s="119">
        <f>SUM(F4:F18)</f>
        <v>4459.7999999999993</v>
      </c>
    </row>
    <row r="20" spans="1:6" x14ac:dyDescent="0.25">
      <c r="A20" s="401" t="s">
        <v>219</v>
      </c>
      <c r="B20" s="402"/>
      <c r="C20" s="402"/>
      <c r="D20" s="402"/>
      <c r="E20" s="403"/>
      <c r="F20" s="120">
        <f>F19/12</f>
        <v>371.64999999999992</v>
      </c>
    </row>
    <row r="22" spans="1:6" x14ac:dyDescent="0.25">
      <c r="A22" s="404" t="s">
        <v>220</v>
      </c>
      <c r="B22" s="404"/>
      <c r="C22" s="404"/>
      <c r="D22" s="404"/>
      <c r="E22" s="404"/>
      <c r="F22" s="404"/>
    </row>
    <row r="23" spans="1:6" x14ac:dyDescent="0.25">
      <c r="A23" s="404"/>
      <c r="B23" s="404"/>
      <c r="C23" s="404"/>
      <c r="D23" s="404"/>
      <c r="E23" s="404"/>
      <c r="F23" s="404"/>
    </row>
    <row r="24" spans="1:6" x14ac:dyDescent="0.25">
      <c r="A24" s="404"/>
      <c r="B24" s="404"/>
      <c r="C24" s="404"/>
      <c r="D24" s="404"/>
      <c r="E24" s="404"/>
      <c r="F24" s="404"/>
    </row>
    <row r="25" spans="1:6" ht="2.25" customHeight="1" x14ac:dyDescent="0.25">
      <c r="A25" s="404"/>
      <c r="B25" s="404"/>
      <c r="C25" s="404"/>
      <c r="D25" s="404"/>
      <c r="E25" s="404"/>
      <c r="F25" s="404"/>
    </row>
    <row r="26" spans="1:6" ht="15" hidden="1" customHeight="1" x14ac:dyDescent="0.25">
      <c r="A26" s="404"/>
      <c r="B26" s="404"/>
      <c r="C26" s="404"/>
      <c r="D26" s="404"/>
      <c r="E26" s="404"/>
      <c r="F26" s="404"/>
    </row>
  </sheetData>
  <mergeCells count="4">
    <mergeCell ref="A19:E19"/>
    <mergeCell ref="A3:F3"/>
    <mergeCell ref="A20:E20"/>
    <mergeCell ref="A22:F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2152F-07DA-4FA2-A7B5-04680470A91C}">
  <sheetPr>
    <tabColor rgb="FF00B0F0"/>
    <pageSetUpPr fitToPage="1"/>
  </sheetPr>
  <dimension ref="A1:L135"/>
  <sheetViews>
    <sheetView view="pageBreakPreview" topLeftCell="A13" zoomScale="115" zoomScaleNormal="100" zoomScaleSheetLayoutView="115" workbookViewId="0">
      <selection activeCell="I52" sqref="I52"/>
    </sheetView>
  </sheetViews>
  <sheetFormatPr defaultRowHeight="15.75" x14ac:dyDescent="0.25"/>
  <cols>
    <col min="1" max="1" width="10.140625" style="2" bestFit="1" customWidth="1"/>
    <col min="2" max="2" width="12.5703125" style="2" bestFit="1" customWidth="1"/>
    <col min="3" max="3" width="10.85546875" style="2" customWidth="1"/>
    <col min="4" max="4" width="14.42578125" style="2" customWidth="1"/>
    <col min="5" max="5" width="12.85546875" style="2" bestFit="1" customWidth="1"/>
    <col min="6" max="6" width="11" style="2" bestFit="1" customWidth="1"/>
    <col min="7" max="7" width="19.85546875" style="2" customWidth="1"/>
    <col min="8" max="8" width="14.7109375" style="2" customWidth="1"/>
    <col min="9" max="9" width="34" style="2" bestFit="1" customWidth="1"/>
    <col min="10" max="10" width="4" style="2" customWidth="1"/>
    <col min="11" max="11" width="14.140625" style="2" customWidth="1"/>
    <col min="12" max="12" width="11.42578125" style="2" customWidth="1"/>
    <col min="13" max="15" width="9.28515625" style="2" bestFit="1" customWidth="1"/>
    <col min="16" max="256" width="9.140625" style="2"/>
    <col min="257" max="257" width="10.140625" style="2" bestFit="1" customWidth="1"/>
    <col min="258" max="259" width="9.140625" style="2"/>
    <col min="260" max="260" width="20.85546875" style="2" customWidth="1"/>
    <col min="261" max="261" width="12.85546875" style="2" bestFit="1" customWidth="1"/>
    <col min="262" max="262" width="9.140625" style="2"/>
    <col min="263" max="263" width="19.85546875" style="2" customWidth="1"/>
    <col min="264" max="264" width="14.7109375" style="2" customWidth="1"/>
    <col min="265" max="265" width="34" style="2" bestFit="1" customWidth="1"/>
    <col min="266" max="266" width="4" style="2" customWidth="1"/>
    <col min="267" max="267" width="14.140625" style="2" customWidth="1"/>
    <col min="268" max="268" width="11.42578125" style="2" customWidth="1"/>
    <col min="269" max="271" width="9.28515625" style="2" bestFit="1" customWidth="1"/>
    <col min="272" max="512" width="9.140625" style="2"/>
    <col min="513" max="513" width="10.140625" style="2" bestFit="1" customWidth="1"/>
    <col min="514" max="515" width="9.140625" style="2"/>
    <col min="516" max="516" width="20.85546875" style="2" customWidth="1"/>
    <col min="517" max="517" width="12.85546875" style="2" bestFit="1" customWidth="1"/>
    <col min="518" max="518" width="9.140625" style="2"/>
    <col min="519" max="519" width="19.85546875" style="2" customWidth="1"/>
    <col min="520" max="520" width="14.7109375" style="2" customWidth="1"/>
    <col min="521" max="521" width="34" style="2" bestFit="1" customWidth="1"/>
    <col min="522" max="522" width="4" style="2" customWidth="1"/>
    <col min="523" max="523" width="14.140625" style="2" customWidth="1"/>
    <col min="524" max="524" width="11.42578125" style="2" customWidth="1"/>
    <col min="525" max="527" width="9.28515625" style="2" bestFit="1" customWidth="1"/>
    <col min="528" max="768" width="9.140625" style="2"/>
    <col min="769" max="769" width="10.140625" style="2" bestFit="1" customWidth="1"/>
    <col min="770" max="771" width="9.140625" style="2"/>
    <col min="772" max="772" width="20.85546875" style="2" customWidth="1"/>
    <col min="773" max="773" width="12.85546875" style="2" bestFit="1" customWidth="1"/>
    <col min="774" max="774" width="9.140625" style="2"/>
    <col min="775" max="775" width="19.85546875" style="2" customWidth="1"/>
    <col min="776" max="776" width="14.7109375" style="2" customWidth="1"/>
    <col min="777" max="777" width="34" style="2" bestFit="1" customWidth="1"/>
    <col min="778" max="778" width="4" style="2" customWidth="1"/>
    <col min="779" max="779" width="14.140625" style="2" customWidth="1"/>
    <col min="780" max="780" width="11.42578125" style="2" customWidth="1"/>
    <col min="781" max="783" width="9.28515625" style="2" bestFit="1" customWidth="1"/>
    <col min="784" max="1024" width="9.140625" style="2"/>
    <col min="1025" max="1025" width="10.140625" style="2" bestFit="1" customWidth="1"/>
    <col min="1026" max="1027" width="9.140625" style="2"/>
    <col min="1028" max="1028" width="20.85546875" style="2" customWidth="1"/>
    <col min="1029" max="1029" width="12.85546875" style="2" bestFit="1" customWidth="1"/>
    <col min="1030" max="1030" width="9.140625" style="2"/>
    <col min="1031" max="1031" width="19.85546875" style="2" customWidth="1"/>
    <col min="1032" max="1032" width="14.7109375" style="2" customWidth="1"/>
    <col min="1033" max="1033" width="34" style="2" bestFit="1" customWidth="1"/>
    <col min="1034" max="1034" width="4" style="2" customWidth="1"/>
    <col min="1035" max="1035" width="14.140625" style="2" customWidth="1"/>
    <col min="1036" max="1036" width="11.42578125" style="2" customWidth="1"/>
    <col min="1037" max="1039" width="9.28515625" style="2" bestFit="1" customWidth="1"/>
    <col min="1040" max="1280" width="9.140625" style="2"/>
    <col min="1281" max="1281" width="10.140625" style="2" bestFit="1" customWidth="1"/>
    <col min="1282" max="1283" width="9.140625" style="2"/>
    <col min="1284" max="1284" width="20.85546875" style="2" customWidth="1"/>
    <col min="1285" max="1285" width="12.85546875" style="2" bestFit="1" customWidth="1"/>
    <col min="1286" max="1286" width="9.140625" style="2"/>
    <col min="1287" max="1287" width="19.85546875" style="2" customWidth="1"/>
    <col min="1288" max="1288" width="14.7109375" style="2" customWidth="1"/>
    <col min="1289" max="1289" width="34" style="2" bestFit="1" customWidth="1"/>
    <col min="1290" max="1290" width="4" style="2" customWidth="1"/>
    <col min="1291" max="1291" width="14.140625" style="2" customWidth="1"/>
    <col min="1292" max="1292" width="11.42578125" style="2" customWidth="1"/>
    <col min="1293" max="1295" width="9.28515625" style="2" bestFit="1" customWidth="1"/>
    <col min="1296" max="1536" width="9.140625" style="2"/>
    <col min="1537" max="1537" width="10.140625" style="2" bestFit="1" customWidth="1"/>
    <col min="1538" max="1539" width="9.140625" style="2"/>
    <col min="1540" max="1540" width="20.85546875" style="2" customWidth="1"/>
    <col min="1541" max="1541" width="12.85546875" style="2" bestFit="1" customWidth="1"/>
    <col min="1542" max="1542" width="9.140625" style="2"/>
    <col min="1543" max="1543" width="19.85546875" style="2" customWidth="1"/>
    <col min="1544" max="1544" width="14.7109375" style="2" customWidth="1"/>
    <col min="1545" max="1545" width="34" style="2" bestFit="1" customWidth="1"/>
    <col min="1546" max="1546" width="4" style="2" customWidth="1"/>
    <col min="1547" max="1547" width="14.140625" style="2" customWidth="1"/>
    <col min="1548" max="1548" width="11.42578125" style="2" customWidth="1"/>
    <col min="1549" max="1551" width="9.28515625" style="2" bestFit="1" customWidth="1"/>
    <col min="1552" max="1792" width="9.140625" style="2"/>
    <col min="1793" max="1793" width="10.140625" style="2" bestFit="1" customWidth="1"/>
    <col min="1794" max="1795" width="9.140625" style="2"/>
    <col min="1796" max="1796" width="20.85546875" style="2" customWidth="1"/>
    <col min="1797" max="1797" width="12.85546875" style="2" bestFit="1" customWidth="1"/>
    <col min="1798" max="1798" width="9.140625" style="2"/>
    <col min="1799" max="1799" width="19.85546875" style="2" customWidth="1"/>
    <col min="1800" max="1800" width="14.7109375" style="2" customWidth="1"/>
    <col min="1801" max="1801" width="34" style="2" bestFit="1" customWidth="1"/>
    <col min="1802" max="1802" width="4" style="2" customWidth="1"/>
    <col min="1803" max="1803" width="14.140625" style="2" customWidth="1"/>
    <col min="1804" max="1804" width="11.42578125" style="2" customWidth="1"/>
    <col min="1805" max="1807" width="9.28515625" style="2" bestFit="1" customWidth="1"/>
    <col min="1808" max="2048" width="9.140625" style="2"/>
    <col min="2049" max="2049" width="10.140625" style="2" bestFit="1" customWidth="1"/>
    <col min="2050" max="2051" width="9.140625" style="2"/>
    <col min="2052" max="2052" width="20.85546875" style="2" customWidth="1"/>
    <col min="2053" max="2053" width="12.85546875" style="2" bestFit="1" customWidth="1"/>
    <col min="2054" max="2054" width="9.140625" style="2"/>
    <col min="2055" max="2055" width="19.85546875" style="2" customWidth="1"/>
    <col min="2056" max="2056" width="14.7109375" style="2" customWidth="1"/>
    <col min="2057" max="2057" width="34" style="2" bestFit="1" customWidth="1"/>
    <col min="2058" max="2058" width="4" style="2" customWidth="1"/>
    <col min="2059" max="2059" width="14.140625" style="2" customWidth="1"/>
    <col min="2060" max="2060" width="11.42578125" style="2" customWidth="1"/>
    <col min="2061" max="2063" width="9.28515625" style="2" bestFit="1" customWidth="1"/>
    <col min="2064" max="2304" width="9.140625" style="2"/>
    <col min="2305" max="2305" width="10.140625" style="2" bestFit="1" customWidth="1"/>
    <col min="2306" max="2307" width="9.140625" style="2"/>
    <col min="2308" max="2308" width="20.85546875" style="2" customWidth="1"/>
    <col min="2309" max="2309" width="12.85546875" style="2" bestFit="1" customWidth="1"/>
    <col min="2310" max="2310" width="9.140625" style="2"/>
    <col min="2311" max="2311" width="19.85546875" style="2" customWidth="1"/>
    <col min="2312" max="2312" width="14.7109375" style="2" customWidth="1"/>
    <col min="2313" max="2313" width="34" style="2" bestFit="1" customWidth="1"/>
    <col min="2314" max="2314" width="4" style="2" customWidth="1"/>
    <col min="2315" max="2315" width="14.140625" style="2" customWidth="1"/>
    <col min="2316" max="2316" width="11.42578125" style="2" customWidth="1"/>
    <col min="2317" max="2319" width="9.28515625" style="2" bestFit="1" customWidth="1"/>
    <col min="2320" max="2560" width="9.140625" style="2"/>
    <col min="2561" max="2561" width="10.140625" style="2" bestFit="1" customWidth="1"/>
    <col min="2562" max="2563" width="9.140625" style="2"/>
    <col min="2564" max="2564" width="20.85546875" style="2" customWidth="1"/>
    <col min="2565" max="2565" width="12.85546875" style="2" bestFit="1" customWidth="1"/>
    <col min="2566" max="2566" width="9.140625" style="2"/>
    <col min="2567" max="2567" width="19.85546875" style="2" customWidth="1"/>
    <col min="2568" max="2568" width="14.7109375" style="2" customWidth="1"/>
    <col min="2569" max="2569" width="34" style="2" bestFit="1" customWidth="1"/>
    <col min="2570" max="2570" width="4" style="2" customWidth="1"/>
    <col min="2571" max="2571" width="14.140625" style="2" customWidth="1"/>
    <col min="2572" max="2572" width="11.42578125" style="2" customWidth="1"/>
    <col min="2573" max="2575" width="9.28515625" style="2" bestFit="1" customWidth="1"/>
    <col min="2576" max="2816" width="9.140625" style="2"/>
    <col min="2817" max="2817" width="10.140625" style="2" bestFit="1" customWidth="1"/>
    <col min="2818" max="2819" width="9.140625" style="2"/>
    <col min="2820" max="2820" width="20.85546875" style="2" customWidth="1"/>
    <col min="2821" max="2821" width="12.85546875" style="2" bestFit="1" customWidth="1"/>
    <col min="2822" max="2822" width="9.140625" style="2"/>
    <col min="2823" max="2823" width="19.85546875" style="2" customWidth="1"/>
    <col min="2824" max="2824" width="14.7109375" style="2" customWidth="1"/>
    <col min="2825" max="2825" width="34" style="2" bestFit="1" customWidth="1"/>
    <col min="2826" max="2826" width="4" style="2" customWidth="1"/>
    <col min="2827" max="2827" width="14.140625" style="2" customWidth="1"/>
    <col min="2828" max="2828" width="11.42578125" style="2" customWidth="1"/>
    <col min="2829" max="2831" width="9.28515625" style="2" bestFit="1" customWidth="1"/>
    <col min="2832" max="3072" width="9.140625" style="2"/>
    <col min="3073" max="3073" width="10.140625" style="2" bestFit="1" customWidth="1"/>
    <col min="3074" max="3075" width="9.140625" style="2"/>
    <col min="3076" max="3076" width="20.85546875" style="2" customWidth="1"/>
    <col min="3077" max="3077" width="12.85546875" style="2" bestFit="1" customWidth="1"/>
    <col min="3078" max="3078" width="9.140625" style="2"/>
    <col min="3079" max="3079" width="19.85546875" style="2" customWidth="1"/>
    <col min="3080" max="3080" width="14.7109375" style="2" customWidth="1"/>
    <col min="3081" max="3081" width="34" style="2" bestFit="1" customWidth="1"/>
    <col min="3082" max="3082" width="4" style="2" customWidth="1"/>
    <col min="3083" max="3083" width="14.140625" style="2" customWidth="1"/>
    <col min="3084" max="3084" width="11.42578125" style="2" customWidth="1"/>
    <col min="3085" max="3087" width="9.28515625" style="2" bestFit="1" customWidth="1"/>
    <col min="3088" max="3328" width="9.140625" style="2"/>
    <col min="3329" max="3329" width="10.140625" style="2" bestFit="1" customWidth="1"/>
    <col min="3330" max="3331" width="9.140625" style="2"/>
    <col min="3332" max="3332" width="20.85546875" style="2" customWidth="1"/>
    <col min="3333" max="3333" width="12.85546875" style="2" bestFit="1" customWidth="1"/>
    <col min="3334" max="3334" width="9.140625" style="2"/>
    <col min="3335" max="3335" width="19.85546875" style="2" customWidth="1"/>
    <col min="3336" max="3336" width="14.7109375" style="2" customWidth="1"/>
    <col min="3337" max="3337" width="34" style="2" bestFit="1" customWidth="1"/>
    <col min="3338" max="3338" width="4" style="2" customWidth="1"/>
    <col min="3339" max="3339" width="14.140625" style="2" customWidth="1"/>
    <col min="3340" max="3340" width="11.42578125" style="2" customWidth="1"/>
    <col min="3341" max="3343" width="9.28515625" style="2" bestFit="1" customWidth="1"/>
    <col min="3344" max="3584" width="9.140625" style="2"/>
    <col min="3585" max="3585" width="10.140625" style="2" bestFit="1" customWidth="1"/>
    <col min="3586" max="3587" width="9.140625" style="2"/>
    <col min="3588" max="3588" width="20.85546875" style="2" customWidth="1"/>
    <col min="3589" max="3589" width="12.85546875" style="2" bestFit="1" customWidth="1"/>
    <col min="3590" max="3590" width="9.140625" style="2"/>
    <col min="3591" max="3591" width="19.85546875" style="2" customWidth="1"/>
    <col min="3592" max="3592" width="14.7109375" style="2" customWidth="1"/>
    <col min="3593" max="3593" width="34" style="2" bestFit="1" customWidth="1"/>
    <col min="3594" max="3594" width="4" style="2" customWidth="1"/>
    <col min="3595" max="3595" width="14.140625" style="2" customWidth="1"/>
    <col min="3596" max="3596" width="11.42578125" style="2" customWidth="1"/>
    <col min="3597" max="3599" width="9.28515625" style="2" bestFit="1" customWidth="1"/>
    <col min="3600" max="3840" width="9.140625" style="2"/>
    <col min="3841" max="3841" width="10.140625" style="2" bestFit="1" customWidth="1"/>
    <col min="3842" max="3843" width="9.140625" style="2"/>
    <col min="3844" max="3844" width="20.85546875" style="2" customWidth="1"/>
    <col min="3845" max="3845" width="12.85546875" style="2" bestFit="1" customWidth="1"/>
    <col min="3846" max="3846" width="9.140625" style="2"/>
    <col min="3847" max="3847" width="19.85546875" style="2" customWidth="1"/>
    <col min="3848" max="3848" width="14.7109375" style="2" customWidth="1"/>
    <col min="3849" max="3849" width="34" style="2" bestFit="1" customWidth="1"/>
    <col min="3850" max="3850" width="4" style="2" customWidth="1"/>
    <col min="3851" max="3851" width="14.140625" style="2" customWidth="1"/>
    <col min="3852" max="3852" width="11.42578125" style="2" customWidth="1"/>
    <col min="3853" max="3855" width="9.28515625" style="2" bestFit="1" customWidth="1"/>
    <col min="3856" max="4096" width="9.140625" style="2"/>
    <col min="4097" max="4097" width="10.140625" style="2" bestFit="1" customWidth="1"/>
    <col min="4098" max="4099" width="9.140625" style="2"/>
    <col min="4100" max="4100" width="20.85546875" style="2" customWidth="1"/>
    <col min="4101" max="4101" width="12.85546875" style="2" bestFit="1" customWidth="1"/>
    <col min="4102" max="4102" width="9.140625" style="2"/>
    <col min="4103" max="4103" width="19.85546875" style="2" customWidth="1"/>
    <col min="4104" max="4104" width="14.7109375" style="2" customWidth="1"/>
    <col min="4105" max="4105" width="34" style="2" bestFit="1" customWidth="1"/>
    <col min="4106" max="4106" width="4" style="2" customWidth="1"/>
    <col min="4107" max="4107" width="14.140625" style="2" customWidth="1"/>
    <col min="4108" max="4108" width="11.42578125" style="2" customWidth="1"/>
    <col min="4109" max="4111" width="9.28515625" style="2" bestFit="1" customWidth="1"/>
    <col min="4112" max="4352" width="9.140625" style="2"/>
    <col min="4353" max="4353" width="10.140625" style="2" bestFit="1" customWidth="1"/>
    <col min="4354" max="4355" width="9.140625" style="2"/>
    <col min="4356" max="4356" width="20.85546875" style="2" customWidth="1"/>
    <col min="4357" max="4357" width="12.85546875" style="2" bestFit="1" customWidth="1"/>
    <col min="4358" max="4358" width="9.140625" style="2"/>
    <col min="4359" max="4359" width="19.85546875" style="2" customWidth="1"/>
    <col min="4360" max="4360" width="14.7109375" style="2" customWidth="1"/>
    <col min="4361" max="4361" width="34" style="2" bestFit="1" customWidth="1"/>
    <col min="4362" max="4362" width="4" style="2" customWidth="1"/>
    <col min="4363" max="4363" width="14.140625" style="2" customWidth="1"/>
    <col min="4364" max="4364" width="11.42578125" style="2" customWidth="1"/>
    <col min="4365" max="4367" width="9.28515625" style="2" bestFit="1" customWidth="1"/>
    <col min="4368" max="4608" width="9.140625" style="2"/>
    <col min="4609" max="4609" width="10.140625" style="2" bestFit="1" customWidth="1"/>
    <col min="4610" max="4611" width="9.140625" style="2"/>
    <col min="4612" max="4612" width="20.85546875" style="2" customWidth="1"/>
    <col min="4613" max="4613" width="12.85546875" style="2" bestFit="1" customWidth="1"/>
    <col min="4614" max="4614" width="9.140625" style="2"/>
    <col min="4615" max="4615" width="19.85546875" style="2" customWidth="1"/>
    <col min="4616" max="4616" width="14.7109375" style="2" customWidth="1"/>
    <col min="4617" max="4617" width="34" style="2" bestFit="1" customWidth="1"/>
    <col min="4618" max="4618" width="4" style="2" customWidth="1"/>
    <col min="4619" max="4619" width="14.140625" style="2" customWidth="1"/>
    <col min="4620" max="4620" width="11.42578125" style="2" customWidth="1"/>
    <col min="4621" max="4623" width="9.28515625" style="2" bestFit="1" customWidth="1"/>
    <col min="4624" max="4864" width="9.140625" style="2"/>
    <col min="4865" max="4865" width="10.140625" style="2" bestFit="1" customWidth="1"/>
    <col min="4866" max="4867" width="9.140625" style="2"/>
    <col min="4868" max="4868" width="20.85546875" style="2" customWidth="1"/>
    <col min="4869" max="4869" width="12.85546875" style="2" bestFit="1" customWidth="1"/>
    <col min="4870" max="4870" width="9.140625" style="2"/>
    <col min="4871" max="4871" width="19.85546875" style="2" customWidth="1"/>
    <col min="4872" max="4872" width="14.7109375" style="2" customWidth="1"/>
    <col min="4873" max="4873" width="34" style="2" bestFit="1" customWidth="1"/>
    <col min="4874" max="4874" width="4" style="2" customWidth="1"/>
    <col min="4875" max="4875" width="14.140625" style="2" customWidth="1"/>
    <col min="4876" max="4876" width="11.42578125" style="2" customWidth="1"/>
    <col min="4877" max="4879" width="9.28515625" style="2" bestFit="1" customWidth="1"/>
    <col min="4880" max="5120" width="9.140625" style="2"/>
    <col min="5121" max="5121" width="10.140625" style="2" bestFit="1" customWidth="1"/>
    <col min="5122" max="5123" width="9.140625" style="2"/>
    <col min="5124" max="5124" width="20.85546875" style="2" customWidth="1"/>
    <col min="5125" max="5125" width="12.85546875" style="2" bestFit="1" customWidth="1"/>
    <col min="5126" max="5126" width="9.140625" style="2"/>
    <col min="5127" max="5127" width="19.85546875" style="2" customWidth="1"/>
    <col min="5128" max="5128" width="14.7109375" style="2" customWidth="1"/>
    <col min="5129" max="5129" width="34" style="2" bestFit="1" customWidth="1"/>
    <col min="5130" max="5130" width="4" style="2" customWidth="1"/>
    <col min="5131" max="5131" width="14.140625" style="2" customWidth="1"/>
    <col min="5132" max="5132" width="11.42578125" style="2" customWidth="1"/>
    <col min="5133" max="5135" width="9.28515625" style="2" bestFit="1" customWidth="1"/>
    <col min="5136" max="5376" width="9.140625" style="2"/>
    <col min="5377" max="5377" width="10.140625" style="2" bestFit="1" customWidth="1"/>
    <col min="5378" max="5379" width="9.140625" style="2"/>
    <col min="5380" max="5380" width="20.85546875" style="2" customWidth="1"/>
    <col min="5381" max="5381" width="12.85546875" style="2" bestFit="1" customWidth="1"/>
    <col min="5382" max="5382" width="9.140625" style="2"/>
    <col min="5383" max="5383" width="19.85546875" style="2" customWidth="1"/>
    <col min="5384" max="5384" width="14.7109375" style="2" customWidth="1"/>
    <col min="5385" max="5385" width="34" style="2" bestFit="1" customWidth="1"/>
    <col min="5386" max="5386" width="4" style="2" customWidth="1"/>
    <col min="5387" max="5387" width="14.140625" style="2" customWidth="1"/>
    <col min="5388" max="5388" width="11.42578125" style="2" customWidth="1"/>
    <col min="5389" max="5391" width="9.28515625" style="2" bestFit="1" customWidth="1"/>
    <col min="5392" max="5632" width="9.140625" style="2"/>
    <col min="5633" max="5633" width="10.140625" style="2" bestFit="1" customWidth="1"/>
    <col min="5634" max="5635" width="9.140625" style="2"/>
    <col min="5636" max="5636" width="20.85546875" style="2" customWidth="1"/>
    <col min="5637" max="5637" width="12.85546875" style="2" bestFit="1" customWidth="1"/>
    <col min="5638" max="5638" width="9.140625" style="2"/>
    <col min="5639" max="5639" width="19.85546875" style="2" customWidth="1"/>
    <col min="5640" max="5640" width="14.7109375" style="2" customWidth="1"/>
    <col min="5641" max="5641" width="34" style="2" bestFit="1" customWidth="1"/>
    <col min="5642" max="5642" width="4" style="2" customWidth="1"/>
    <col min="5643" max="5643" width="14.140625" style="2" customWidth="1"/>
    <col min="5644" max="5644" width="11.42578125" style="2" customWidth="1"/>
    <col min="5645" max="5647" width="9.28515625" style="2" bestFit="1" customWidth="1"/>
    <col min="5648" max="5888" width="9.140625" style="2"/>
    <col min="5889" max="5889" width="10.140625" style="2" bestFit="1" customWidth="1"/>
    <col min="5890" max="5891" width="9.140625" style="2"/>
    <col min="5892" max="5892" width="20.85546875" style="2" customWidth="1"/>
    <col min="5893" max="5893" width="12.85546875" style="2" bestFit="1" customWidth="1"/>
    <col min="5894" max="5894" width="9.140625" style="2"/>
    <col min="5895" max="5895" width="19.85546875" style="2" customWidth="1"/>
    <col min="5896" max="5896" width="14.7109375" style="2" customWidth="1"/>
    <col min="5897" max="5897" width="34" style="2" bestFit="1" customWidth="1"/>
    <col min="5898" max="5898" width="4" style="2" customWidth="1"/>
    <col min="5899" max="5899" width="14.140625" style="2" customWidth="1"/>
    <col min="5900" max="5900" width="11.42578125" style="2" customWidth="1"/>
    <col min="5901" max="5903" width="9.28515625" style="2" bestFit="1" customWidth="1"/>
    <col min="5904" max="6144" width="9.140625" style="2"/>
    <col min="6145" max="6145" width="10.140625" style="2" bestFit="1" customWidth="1"/>
    <col min="6146" max="6147" width="9.140625" style="2"/>
    <col min="6148" max="6148" width="20.85546875" style="2" customWidth="1"/>
    <col min="6149" max="6149" width="12.85546875" style="2" bestFit="1" customWidth="1"/>
    <col min="6150" max="6150" width="9.140625" style="2"/>
    <col min="6151" max="6151" width="19.85546875" style="2" customWidth="1"/>
    <col min="6152" max="6152" width="14.7109375" style="2" customWidth="1"/>
    <col min="6153" max="6153" width="34" style="2" bestFit="1" customWidth="1"/>
    <col min="6154" max="6154" width="4" style="2" customWidth="1"/>
    <col min="6155" max="6155" width="14.140625" style="2" customWidth="1"/>
    <col min="6156" max="6156" width="11.42578125" style="2" customWidth="1"/>
    <col min="6157" max="6159" width="9.28515625" style="2" bestFit="1" customWidth="1"/>
    <col min="6160" max="6400" width="9.140625" style="2"/>
    <col min="6401" max="6401" width="10.140625" style="2" bestFit="1" customWidth="1"/>
    <col min="6402" max="6403" width="9.140625" style="2"/>
    <col min="6404" max="6404" width="20.85546875" style="2" customWidth="1"/>
    <col min="6405" max="6405" width="12.85546875" style="2" bestFit="1" customWidth="1"/>
    <col min="6406" max="6406" width="9.140625" style="2"/>
    <col min="6407" max="6407" width="19.85546875" style="2" customWidth="1"/>
    <col min="6408" max="6408" width="14.7109375" style="2" customWidth="1"/>
    <col min="6409" max="6409" width="34" style="2" bestFit="1" customWidth="1"/>
    <col min="6410" max="6410" width="4" style="2" customWidth="1"/>
    <col min="6411" max="6411" width="14.140625" style="2" customWidth="1"/>
    <col min="6412" max="6412" width="11.42578125" style="2" customWidth="1"/>
    <col min="6413" max="6415" width="9.28515625" style="2" bestFit="1" customWidth="1"/>
    <col min="6416" max="6656" width="9.140625" style="2"/>
    <col min="6657" max="6657" width="10.140625" style="2" bestFit="1" customWidth="1"/>
    <col min="6658" max="6659" width="9.140625" style="2"/>
    <col min="6660" max="6660" width="20.85546875" style="2" customWidth="1"/>
    <col min="6661" max="6661" width="12.85546875" style="2" bestFit="1" customWidth="1"/>
    <col min="6662" max="6662" width="9.140625" style="2"/>
    <col min="6663" max="6663" width="19.85546875" style="2" customWidth="1"/>
    <col min="6664" max="6664" width="14.7109375" style="2" customWidth="1"/>
    <col min="6665" max="6665" width="34" style="2" bestFit="1" customWidth="1"/>
    <col min="6666" max="6666" width="4" style="2" customWidth="1"/>
    <col min="6667" max="6667" width="14.140625" style="2" customWidth="1"/>
    <col min="6668" max="6668" width="11.42578125" style="2" customWidth="1"/>
    <col min="6669" max="6671" width="9.28515625" style="2" bestFit="1" customWidth="1"/>
    <col min="6672" max="6912" width="9.140625" style="2"/>
    <col min="6913" max="6913" width="10.140625" style="2" bestFit="1" customWidth="1"/>
    <col min="6914" max="6915" width="9.140625" style="2"/>
    <col min="6916" max="6916" width="20.85546875" style="2" customWidth="1"/>
    <col min="6917" max="6917" width="12.85546875" style="2" bestFit="1" customWidth="1"/>
    <col min="6918" max="6918" width="9.140625" style="2"/>
    <col min="6919" max="6919" width="19.85546875" style="2" customWidth="1"/>
    <col min="6920" max="6920" width="14.7109375" style="2" customWidth="1"/>
    <col min="6921" max="6921" width="34" style="2" bestFit="1" customWidth="1"/>
    <col min="6922" max="6922" width="4" style="2" customWidth="1"/>
    <col min="6923" max="6923" width="14.140625" style="2" customWidth="1"/>
    <col min="6924" max="6924" width="11.42578125" style="2" customWidth="1"/>
    <col min="6925" max="6927" width="9.28515625" style="2" bestFit="1" customWidth="1"/>
    <col min="6928" max="7168" width="9.140625" style="2"/>
    <col min="7169" max="7169" width="10.140625" style="2" bestFit="1" customWidth="1"/>
    <col min="7170" max="7171" width="9.140625" style="2"/>
    <col min="7172" max="7172" width="20.85546875" style="2" customWidth="1"/>
    <col min="7173" max="7173" width="12.85546875" style="2" bestFit="1" customWidth="1"/>
    <col min="7174" max="7174" width="9.140625" style="2"/>
    <col min="7175" max="7175" width="19.85546875" style="2" customWidth="1"/>
    <col min="7176" max="7176" width="14.7109375" style="2" customWidth="1"/>
    <col min="7177" max="7177" width="34" style="2" bestFit="1" customWidth="1"/>
    <col min="7178" max="7178" width="4" style="2" customWidth="1"/>
    <col min="7179" max="7179" width="14.140625" style="2" customWidth="1"/>
    <col min="7180" max="7180" width="11.42578125" style="2" customWidth="1"/>
    <col min="7181" max="7183" width="9.28515625" style="2" bestFit="1" customWidth="1"/>
    <col min="7184" max="7424" width="9.140625" style="2"/>
    <col min="7425" max="7425" width="10.140625" style="2" bestFit="1" customWidth="1"/>
    <col min="7426" max="7427" width="9.140625" style="2"/>
    <col min="7428" max="7428" width="20.85546875" style="2" customWidth="1"/>
    <col min="7429" max="7429" width="12.85546875" style="2" bestFit="1" customWidth="1"/>
    <col min="7430" max="7430" width="9.140625" style="2"/>
    <col min="7431" max="7431" width="19.85546875" style="2" customWidth="1"/>
    <col min="7432" max="7432" width="14.7109375" style="2" customWidth="1"/>
    <col min="7433" max="7433" width="34" style="2" bestFit="1" customWidth="1"/>
    <col min="7434" max="7434" width="4" style="2" customWidth="1"/>
    <col min="7435" max="7435" width="14.140625" style="2" customWidth="1"/>
    <col min="7436" max="7436" width="11.42578125" style="2" customWidth="1"/>
    <col min="7437" max="7439" width="9.28515625" style="2" bestFit="1" customWidth="1"/>
    <col min="7440" max="7680" width="9.140625" style="2"/>
    <col min="7681" max="7681" width="10.140625" style="2" bestFit="1" customWidth="1"/>
    <col min="7682" max="7683" width="9.140625" style="2"/>
    <col min="7684" max="7684" width="20.85546875" style="2" customWidth="1"/>
    <col min="7685" max="7685" width="12.85546875" style="2" bestFit="1" customWidth="1"/>
    <col min="7686" max="7686" width="9.140625" style="2"/>
    <col min="7687" max="7687" width="19.85546875" style="2" customWidth="1"/>
    <col min="7688" max="7688" width="14.7109375" style="2" customWidth="1"/>
    <col min="7689" max="7689" width="34" style="2" bestFit="1" customWidth="1"/>
    <col min="7690" max="7690" width="4" style="2" customWidth="1"/>
    <col min="7691" max="7691" width="14.140625" style="2" customWidth="1"/>
    <col min="7692" max="7692" width="11.42578125" style="2" customWidth="1"/>
    <col min="7693" max="7695" width="9.28515625" style="2" bestFit="1" customWidth="1"/>
    <col min="7696" max="7936" width="9.140625" style="2"/>
    <col min="7937" max="7937" width="10.140625" style="2" bestFit="1" customWidth="1"/>
    <col min="7938" max="7939" width="9.140625" style="2"/>
    <col min="7940" max="7940" width="20.85546875" style="2" customWidth="1"/>
    <col min="7941" max="7941" width="12.85546875" style="2" bestFit="1" customWidth="1"/>
    <col min="7942" max="7942" width="9.140625" style="2"/>
    <col min="7943" max="7943" width="19.85546875" style="2" customWidth="1"/>
    <col min="7944" max="7944" width="14.7109375" style="2" customWidth="1"/>
    <col min="7945" max="7945" width="34" style="2" bestFit="1" customWidth="1"/>
    <col min="7946" max="7946" width="4" style="2" customWidth="1"/>
    <col min="7947" max="7947" width="14.140625" style="2" customWidth="1"/>
    <col min="7948" max="7948" width="11.42578125" style="2" customWidth="1"/>
    <col min="7949" max="7951" width="9.28515625" style="2" bestFit="1" customWidth="1"/>
    <col min="7952" max="8192" width="9.140625" style="2"/>
    <col min="8193" max="8193" width="10.140625" style="2" bestFit="1" customWidth="1"/>
    <col min="8194" max="8195" width="9.140625" style="2"/>
    <col min="8196" max="8196" width="20.85546875" style="2" customWidth="1"/>
    <col min="8197" max="8197" width="12.85546875" style="2" bestFit="1" customWidth="1"/>
    <col min="8198" max="8198" width="9.140625" style="2"/>
    <col min="8199" max="8199" width="19.85546875" style="2" customWidth="1"/>
    <col min="8200" max="8200" width="14.7109375" style="2" customWidth="1"/>
    <col min="8201" max="8201" width="34" style="2" bestFit="1" customWidth="1"/>
    <col min="8202" max="8202" width="4" style="2" customWidth="1"/>
    <col min="8203" max="8203" width="14.140625" style="2" customWidth="1"/>
    <col min="8204" max="8204" width="11.42578125" style="2" customWidth="1"/>
    <col min="8205" max="8207" width="9.28515625" style="2" bestFit="1" customWidth="1"/>
    <col min="8208" max="8448" width="9.140625" style="2"/>
    <col min="8449" max="8449" width="10.140625" style="2" bestFit="1" customWidth="1"/>
    <col min="8450" max="8451" width="9.140625" style="2"/>
    <col min="8452" max="8452" width="20.85546875" style="2" customWidth="1"/>
    <col min="8453" max="8453" width="12.85546875" style="2" bestFit="1" customWidth="1"/>
    <col min="8454" max="8454" width="9.140625" style="2"/>
    <col min="8455" max="8455" width="19.85546875" style="2" customWidth="1"/>
    <col min="8456" max="8456" width="14.7109375" style="2" customWidth="1"/>
    <col min="8457" max="8457" width="34" style="2" bestFit="1" customWidth="1"/>
    <col min="8458" max="8458" width="4" style="2" customWidth="1"/>
    <col min="8459" max="8459" width="14.140625" style="2" customWidth="1"/>
    <col min="8460" max="8460" width="11.42578125" style="2" customWidth="1"/>
    <col min="8461" max="8463" width="9.28515625" style="2" bestFit="1" customWidth="1"/>
    <col min="8464" max="8704" width="9.140625" style="2"/>
    <col min="8705" max="8705" width="10.140625" style="2" bestFit="1" customWidth="1"/>
    <col min="8706" max="8707" width="9.140625" style="2"/>
    <col min="8708" max="8708" width="20.85546875" style="2" customWidth="1"/>
    <col min="8709" max="8709" width="12.85546875" style="2" bestFit="1" customWidth="1"/>
    <col min="8710" max="8710" width="9.140625" style="2"/>
    <col min="8711" max="8711" width="19.85546875" style="2" customWidth="1"/>
    <col min="8712" max="8712" width="14.7109375" style="2" customWidth="1"/>
    <col min="8713" max="8713" width="34" style="2" bestFit="1" customWidth="1"/>
    <col min="8714" max="8714" width="4" style="2" customWidth="1"/>
    <col min="8715" max="8715" width="14.140625" style="2" customWidth="1"/>
    <col min="8716" max="8716" width="11.42578125" style="2" customWidth="1"/>
    <col min="8717" max="8719" width="9.28515625" style="2" bestFit="1" customWidth="1"/>
    <col min="8720" max="8960" width="9.140625" style="2"/>
    <col min="8961" max="8961" width="10.140625" style="2" bestFit="1" customWidth="1"/>
    <col min="8962" max="8963" width="9.140625" style="2"/>
    <col min="8964" max="8964" width="20.85546875" style="2" customWidth="1"/>
    <col min="8965" max="8965" width="12.85546875" style="2" bestFit="1" customWidth="1"/>
    <col min="8966" max="8966" width="9.140625" style="2"/>
    <col min="8967" max="8967" width="19.85546875" style="2" customWidth="1"/>
    <col min="8968" max="8968" width="14.7109375" style="2" customWidth="1"/>
    <col min="8969" max="8969" width="34" style="2" bestFit="1" customWidth="1"/>
    <col min="8970" max="8970" width="4" style="2" customWidth="1"/>
    <col min="8971" max="8971" width="14.140625" style="2" customWidth="1"/>
    <col min="8972" max="8972" width="11.42578125" style="2" customWidth="1"/>
    <col min="8973" max="8975" width="9.28515625" style="2" bestFit="1" customWidth="1"/>
    <col min="8976" max="9216" width="9.140625" style="2"/>
    <col min="9217" max="9217" width="10.140625" style="2" bestFit="1" customWidth="1"/>
    <col min="9218" max="9219" width="9.140625" style="2"/>
    <col min="9220" max="9220" width="20.85546875" style="2" customWidth="1"/>
    <col min="9221" max="9221" width="12.85546875" style="2" bestFit="1" customWidth="1"/>
    <col min="9222" max="9222" width="9.140625" style="2"/>
    <col min="9223" max="9223" width="19.85546875" style="2" customWidth="1"/>
    <col min="9224" max="9224" width="14.7109375" style="2" customWidth="1"/>
    <col min="9225" max="9225" width="34" style="2" bestFit="1" customWidth="1"/>
    <col min="9226" max="9226" width="4" style="2" customWidth="1"/>
    <col min="9227" max="9227" width="14.140625" style="2" customWidth="1"/>
    <col min="9228" max="9228" width="11.42578125" style="2" customWidth="1"/>
    <col min="9229" max="9231" width="9.28515625" style="2" bestFit="1" customWidth="1"/>
    <col min="9232" max="9472" width="9.140625" style="2"/>
    <col min="9473" max="9473" width="10.140625" style="2" bestFit="1" customWidth="1"/>
    <col min="9474" max="9475" width="9.140625" style="2"/>
    <col min="9476" max="9476" width="20.85546875" style="2" customWidth="1"/>
    <col min="9477" max="9477" width="12.85546875" style="2" bestFit="1" customWidth="1"/>
    <col min="9478" max="9478" width="9.140625" style="2"/>
    <col min="9479" max="9479" width="19.85546875" style="2" customWidth="1"/>
    <col min="9480" max="9480" width="14.7109375" style="2" customWidth="1"/>
    <col min="9481" max="9481" width="34" style="2" bestFit="1" customWidth="1"/>
    <col min="9482" max="9482" width="4" style="2" customWidth="1"/>
    <col min="9483" max="9483" width="14.140625" style="2" customWidth="1"/>
    <col min="9484" max="9484" width="11.42578125" style="2" customWidth="1"/>
    <col min="9485" max="9487" width="9.28515625" style="2" bestFit="1" customWidth="1"/>
    <col min="9488" max="9728" width="9.140625" style="2"/>
    <col min="9729" max="9729" width="10.140625" style="2" bestFit="1" customWidth="1"/>
    <col min="9730" max="9731" width="9.140625" style="2"/>
    <col min="9732" max="9732" width="20.85546875" style="2" customWidth="1"/>
    <col min="9733" max="9733" width="12.85546875" style="2" bestFit="1" customWidth="1"/>
    <col min="9734" max="9734" width="9.140625" style="2"/>
    <col min="9735" max="9735" width="19.85546875" style="2" customWidth="1"/>
    <col min="9736" max="9736" width="14.7109375" style="2" customWidth="1"/>
    <col min="9737" max="9737" width="34" style="2" bestFit="1" customWidth="1"/>
    <col min="9738" max="9738" width="4" style="2" customWidth="1"/>
    <col min="9739" max="9739" width="14.140625" style="2" customWidth="1"/>
    <col min="9740" max="9740" width="11.42578125" style="2" customWidth="1"/>
    <col min="9741" max="9743" width="9.28515625" style="2" bestFit="1" customWidth="1"/>
    <col min="9744" max="9984" width="9.140625" style="2"/>
    <col min="9985" max="9985" width="10.140625" style="2" bestFit="1" customWidth="1"/>
    <col min="9986" max="9987" width="9.140625" style="2"/>
    <col min="9988" max="9988" width="20.85546875" style="2" customWidth="1"/>
    <col min="9989" max="9989" width="12.85546875" style="2" bestFit="1" customWidth="1"/>
    <col min="9990" max="9990" width="9.140625" style="2"/>
    <col min="9991" max="9991" width="19.85546875" style="2" customWidth="1"/>
    <col min="9992" max="9992" width="14.7109375" style="2" customWidth="1"/>
    <col min="9993" max="9993" width="34" style="2" bestFit="1" customWidth="1"/>
    <col min="9994" max="9994" width="4" style="2" customWidth="1"/>
    <col min="9995" max="9995" width="14.140625" style="2" customWidth="1"/>
    <col min="9996" max="9996" width="11.42578125" style="2" customWidth="1"/>
    <col min="9997" max="9999" width="9.28515625" style="2" bestFit="1" customWidth="1"/>
    <col min="10000" max="10240" width="9.140625" style="2"/>
    <col min="10241" max="10241" width="10.140625" style="2" bestFit="1" customWidth="1"/>
    <col min="10242" max="10243" width="9.140625" style="2"/>
    <col min="10244" max="10244" width="20.85546875" style="2" customWidth="1"/>
    <col min="10245" max="10245" width="12.85546875" style="2" bestFit="1" customWidth="1"/>
    <col min="10246" max="10246" width="9.140625" style="2"/>
    <col min="10247" max="10247" width="19.85546875" style="2" customWidth="1"/>
    <col min="10248" max="10248" width="14.7109375" style="2" customWidth="1"/>
    <col min="10249" max="10249" width="34" style="2" bestFit="1" customWidth="1"/>
    <col min="10250" max="10250" width="4" style="2" customWidth="1"/>
    <col min="10251" max="10251" width="14.140625" style="2" customWidth="1"/>
    <col min="10252" max="10252" width="11.42578125" style="2" customWidth="1"/>
    <col min="10253" max="10255" width="9.28515625" style="2" bestFit="1" customWidth="1"/>
    <col min="10256" max="10496" width="9.140625" style="2"/>
    <col min="10497" max="10497" width="10.140625" style="2" bestFit="1" customWidth="1"/>
    <col min="10498" max="10499" width="9.140625" style="2"/>
    <col min="10500" max="10500" width="20.85546875" style="2" customWidth="1"/>
    <col min="10501" max="10501" width="12.85546875" style="2" bestFit="1" customWidth="1"/>
    <col min="10502" max="10502" width="9.140625" style="2"/>
    <col min="10503" max="10503" width="19.85546875" style="2" customWidth="1"/>
    <col min="10504" max="10504" width="14.7109375" style="2" customWidth="1"/>
    <col min="10505" max="10505" width="34" style="2" bestFit="1" customWidth="1"/>
    <col min="10506" max="10506" width="4" style="2" customWidth="1"/>
    <col min="10507" max="10507" width="14.140625" style="2" customWidth="1"/>
    <col min="10508" max="10508" width="11.42578125" style="2" customWidth="1"/>
    <col min="10509" max="10511" width="9.28515625" style="2" bestFit="1" customWidth="1"/>
    <col min="10512" max="10752" width="9.140625" style="2"/>
    <col min="10753" max="10753" width="10.140625" style="2" bestFit="1" customWidth="1"/>
    <col min="10754" max="10755" width="9.140625" style="2"/>
    <col min="10756" max="10756" width="20.85546875" style="2" customWidth="1"/>
    <col min="10757" max="10757" width="12.85546875" style="2" bestFit="1" customWidth="1"/>
    <col min="10758" max="10758" width="9.140625" style="2"/>
    <col min="10759" max="10759" width="19.85546875" style="2" customWidth="1"/>
    <col min="10760" max="10760" width="14.7109375" style="2" customWidth="1"/>
    <col min="10761" max="10761" width="34" style="2" bestFit="1" customWidth="1"/>
    <col min="10762" max="10762" width="4" style="2" customWidth="1"/>
    <col min="10763" max="10763" width="14.140625" style="2" customWidth="1"/>
    <col min="10764" max="10764" width="11.42578125" style="2" customWidth="1"/>
    <col min="10765" max="10767" width="9.28515625" style="2" bestFit="1" customWidth="1"/>
    <col min="10768" max="11008" width="9.140625" style="2"/>
    <col min="11009" max="11009" width="10.140625" style="2" bestFit="1" customWidth="1"/>
    <col min="11010" max="11011" width="9.140625" style="2"/>
    <col min="11012" max="11012" width="20.85546875" style="2" customWidth="1"/>
    <col min="11013" max="11013" width="12.85546875" style="2" bestFit="1" customWidth="1"/>
    <col min="11014" max="11014" width="9.140625" style="2"/>
    <col min="11015" max="11015" width="19.85546875" style="2" customWidth="1"/>
    <col min="11016" max="11016" width="14.7109375" style="2" customWidth="1"/>
    <col min="11017" max="11017" width="34" style="2" bestFit="1" customWidth="1"/>
    <col min="11018" max="11018" width="4" style="2" customWidth="1"/>
    <col min="11019" max="11019" width="14.140625" style="2" customWidth="1"/>
    <col min="11020" max="11020" width="11.42578125" style="2" customWidth="1"/>
    <col min="11021" max="11023" width="9.28515625" style="2" bestFit="1" customWidth="1"/>
    <col min="11024" max="11264" width="9.140625" style="2"/>
    <col min="11265" max="11265" width="10.140625" style="2" bestFit="1" customWidth="1"/>
    <col min="11266" max="11267" width="9.140625" style="2"/>
    <col min="11268" max="11268" width="20.85546875" style="2" customWidth="1"/>
    <col min="11269" max="11269" width="12.85546875" style="2" bestFit="1" customWidth="1"/>
    <col min="11270" max="11270" width="9.140625" style="2"/>
    <col min="11271" max="11271" width="19.85546875" style="2" customWidth="1"/>
    <col min="11272" max="11272" width="14.7109375" style="2" customWidth="1"/>
    <col min="11273" max="11273" width="34" style="2" bestFit="1" customWidth="1"/>
    <col min="11274" max="11274" width="4" style="2" customWidth="1"/>
    <col min="11275" max="11275" width="14.140625" style="2" customWidth="1"/>
    <col min="11276" max="11276" width="11.42578125" style="2" customWidth="1"/>
    <col min="11277" max="11279" width="9.28515625" style="2" bestFit="1" customWidth="1"/>
    <col min="11280" max="11520" width="9.140625" style="2"/>
    <col min="11521" max="11521" width="10.140625" style="2" bestFit="1" customWidth="1"/>
    <col min="11522" max="11523" width="9.140625" style="2"/>
    <col min="11524" max="11524" width="20.85546875" style="2" customWidth="1"/>
    <col min="11525" max="11525" width="12.85546875" style="2" bestFit="1" customWidth="1"/>
    <col min="11526" max="11526" width="9.140625" style="2"/>
    <col min="11527" max="11527" width="19.85546875" style="2" customWidth="1"/>
    <col min="11528" max="11528" width="14.7109375" style="2" customWidth="1"/>
    <col min="11529" max="11529" width="34" style="2" bestFit="1" customWidth="1"/>
    <col min="11530" max="11530" width="4" style="2" customWidth="1"/>
    <col min="11531" max="11531" width="14.140625" style="2" customWidth="1"/>
    <col min="11532" max="11532" width="11.42578125" style="2" customWidth="1"/>
    <col min="11533" max="11535" width="9.28515625" style="2" bestFit="1" customWidth="1"/>
    <col min="11536" max="11776" width="9.140625" style="2"/>
    <col min="11777" max="11777" width="10.140625" style="2" bestFit="1" customWidth="1"/>
    <col min="11778" max="11779" width="9.140625" style="2"/>
    <col min="11780" max="11780" width="20.85546875" style="2" customWidth="1"/>
    <col min="11781" max="11781" width="12.85546875" style="2" bestFit="1" customWidth="1"/>
    <col min="11782" max="11782" width="9.140625" style="2"/>
    <col min="11783" max="11783" width="19.85546875" style="2" customWidth="1"/>
    <col min="11784" max="11784" width="14.7109375" style="2" customWidth="1"/>
    <col min="11785" max="11785" width="34" style="2" bestFit="1" customWidth="1"/>
    <col min="11786" max="11786" width="4" style="2" customWidth="1"/>
    <col min="11787" max="11787" width="14.140625" style="2" customWidth="1"/>
    <col min="11788" max="11788" width="11.42578125" style="2" customWidth="1"/>
    <col min="11789" max="11791" width="9.28515625" style="2" bestFit="1" customWidth="1"/>
    <col min="11792" max="12032" width="9.140625" style="2"/>
    <col min="12033" max="12033" width="10.140625" style="2" bestFit="1" customWidth="1"/>
    <col min="12034" max="12035" width="9.140625" style="2"/>
    <col min="12036" max="12036" width="20.85546875" style="2" customWidth="1"/>
    <col min="12037" max="12037" width="12.85546875" style="2" bestFit="1" customWidth="1"/>
    <col min="12038" max="12038" width="9.140625" style="2"/>
    <col min="12039" max="12039" width="19.85546875" style="2" customWidth="1"/>
    <col min="12040" max="12040" width="14.7109375" style="2" customWidth="1"/>
    <col min="12041" max="12041" width="34" style="2" bestFit="1" customWidth="1"/>
    <col min="12042" max="12042" width="4" style="2" customWidth="1"/>
    <col min="12043" max="12043" width="14.140625" style="2" customWidth="1"/>
    <col min="12044" max="12044" width="11.42578125" style="2" customWidth="1"/>
    <col min="12045" max="12047" width="9.28515625" style="2" bestFit="1" customWidth="1"/>
    <col min="12048" max="12288" width="9.140625" style="2"/>
    <col min="12289" max="12289" width="10.140625" style="2" bestFit="1" customWidth="1"/>
    <col min="12290" max="12291" width="9.140625" style="2"/>
    <col min="12292" max="12292" width="20.85546875" style="2" customWidth="1"/>
    <col min="12293" max="12293" width="12.85546875" style="2" bestFit="1" customWidth="1"/>
    <col min="12294" max="12294" width="9.140625" style="2"/>
    <col min="12295" max="12295" width="19.85546875" style="2" customWidth="1"/>
    <col min="12296" max="12296" width="14.7109375" style="2" customWidth="1"/>
    <col min="12297" max="12297" width="34" style="2" bestFit="1" customWidth="1"/>
    <col min="12298" max="12298" width="4" style="2" customWidth="1"/>
    <col min="12299" max="12299" width="14.140625" style="2" customWidth="1"/>
    <col min="12300" max="12300" width="11.42578125" style="2" customWidth="1"/>
    <col min="12301" max="12303" width="9.28515625" style="2" bestFit="1" customWidth="1"/>
    <col min="12304" max="12544" width="9.140625" style="2"/>
    <col min="12545" max="12545" width="10.140625" style="2" bestFit="1" customWidth="1"/>
    <col min="12546" max="12547" width="9.140625" style="2"/>
    <col min="12548" max="12548" width="20.85546875" style="2" customWidth="1"/>
    <col min="12549" max="12549" width="12.85546875" style="2" bestFit="1" customWidth="1"/>
    <col min="12550" max="12550" width="9.140625" style="2"/>
    <col min="12551" max="12551" width="19.85546875" style="2" customWidth="1"/>
    <col min="12552" max="12552" width="14.7109375" style="2" customWidth="1"/>
    <col min="12553" max="12553" width="34" style="2" bestFit="1" customWidth="1"/>
    <col min="12554" max="12554" width="4" style="2" customWidth="1"/>
    <col min="12555" max="12555" width="14.140625" style="2" customWidth="1"/>
    <col min="12556" max="12556" width="11.42578125" style="2" customWidth="1"/>
    <col min="12557" max="12559" width="9.28515625" style="2" bestFit="1" customWidth="1"/>
    <col min="12560" max="12800" width="9.140625" style="2"/>
    <col min="12801" max="12801" width="10.140625" style="2" bestFit="1" customWidth="1"/>
    <col min="12802" max="12803" width="9.140625" style="2"/>
    <col min="12804" max="12804" width="20.85546875" style="2" customWidth="1"/>
    <col min="12805" max="12805" width="12.85546875" style="2" bestFit="1" customWidth="1"/>
    <col min="12806" max="12806" width="9.140625" style="2"/>
    <col min="12807" max="12807" width="19.85546875" style="2" customWidth="1"/>
    <col min="12808" max="12808" width="14.7109375" style="2" customWidth="1"/>
    <col min="12809" max="12809" width="34" style="2" bestFit="1" customWidth="1"/>
    <col min="12810" max="12810" width="4" style="2" customWidth="1"/>
    <col min="12811" max="12811" width="14.140625" style="2" customWidth="1"/>
    <col min="12812" max="12812" width="11.42578125" style="2" customWidth="1"/>
    <col min="12813" max="12815" width="9.28515625" style="2" bestFit="1" customWidth="1"/>
    <col min="12816" max="13056" width="9.140625" style="2"/>
    <col min="13057" max="13057" width="10.140625" style="2" bestFit="1" customWidth="1"/>
    <col min="13058" max="13059" width="9.140625" style="2"/>
    <col min="13060" max="13060" width="20.85546875" style="2" customWidth="1"/>
    <col min="13061" max="13061" width="12.85546875" style="2" bestFit="1" customWidth="1"/>
    <col min="13062" max="13062" width="9.140625" style="2"/>
    <col min="13063" max="13063" width="19.85546875" style="2" customWidth="1"/>
    <col min="13064" max="13064" width="14.7109375" style="2" customWidth="1"/>
    <col min="13065" max="13065" width="34" style="2" bestFit="1" customWidth="1"/>
    <col min="13066" max="13066" width="4" style="2" customWidth="1"/>
    <col min="13067" max="13067" width="14.140625" style="2" customWidth="1"/>
    <col min="13068" max="13068" width="11.42578125" style="2" customWidth="1"/>
    <col min="13069" max="13071" width="9.28515625" style="2" bestFit="1" customWidth="1"/>
    <col min="13072" max="13312" width="9.140625" style="2"/>
    <col min="13313" max="13313" width="10.140625" style="2" bestFit="1" customWidth="1"/>
    <col min="13314" max="13315" width="9.140625" style="2"/>
    <col min="13316" max="13316" width="20.85546875" style="2" customWidth="1"/>
    <col min="13317" max="13317" width="12.85546875" style="2" bestFit="1" customWidth="1"/>
    <col min="13318" max="13318" width="9.140625" style="2"/>
    <col min="13319" max="13319" width="19.85546875" style="2" customWidth="1"/>
    <col min="13320" max="13320" width="14.7109375" style="2" customWidth="1"/>
    <col min="13321" max="13321" width="34" style="2" bestFit="1" customWidth="1"/>
    <col min="13322" max="13322" width="4" style="2" customWidth="1"/>
    <col min="13323" max="13323" width="14.140625" style="2" customWidth="1"/>
    <col min="13324" max="13324" width="11.42578125" style="2" customWidth="1"/>
    <col min="13325" max="13327" width="9.28515625" style="2" bestFit="1" customWidth="1"/>
    <col min="13328" max="13568" width="9.140625" style="2"/>
    <col min="13569" max="13569" width="10.140625" style="2" bestFit="1" customWidth="1"/>
    <col min="13570" max="13571" width="9.140625" style="2"/>
    <col min="13572" max="13572" width="20.85546875" style="2" customWidth="1"/>
    <col min="13573" max="13573" width="12.85546875" style="2" bestFit="1" customWidth="1"/>
    <col min="13574" max="13574" width="9.140625" style="2"/>
    <col min="13575" max="13575" width="19.85546875" style="2" customWidth="1"/>
    <col min="13576" max="13576" width="14.7109375" style="2" customWidth="1"/>
    <col min="13577" max="13577" width="34" style="2" bestFit="1" customWidth="1"/>
    <col min="13578" max="13578" width="4" style="2" customWidth="1"/>
    <col min="13579" max="13579" width="14.140625" style="2" customWidth="1"/>
    <col min="13580" max="13580" width="11.42578125" style="2" customWidth="1"/>
    <col min="13581" max="13583" width="9.28515625" style="2" bestFit="1" customWidth="1"/>
    <col min="13584" max="13824" width="9.140625" style="2"/>
    <col min="13825" max="13825" width="10.140625" style="2" bestFit="1" customWidth="1"/>
    <col min="13826" max="13827" width="9.140625" style="2"/>
    <col min="13828" max="13828" width="20.85546875" style="2" customWidth="1"/>
    <col min="13829" max="13829" width="12.85546875" style="2" bestFit="1" customWidth="1"/>
    <col min="13830" max="13830" width="9.140625" style="2"/>
    <col min="13831" max="13831" width="19.85546875" style="2" customWidth="1"/>
    <col min="13832" max="13832" width="14.7109375" style="2" customWidth="1"/>
    <col min="13833" max="13833" width="34" style="2" bestFit="1" customWidth="1"/>
    <col min="13834" max="13834" width="4" style="2" customWidth="1"/>
    <col min="13835" max="13835" width="14.140625" style="2" customWidth="1"/>
    <col min="13836" max="13836" width="11.42578125" style="2" customWidth="1"/>
    <col min="13837" max="13839" width="9.28515625" style="2" bestFit="1" customWidth="1"/>
    <col min="13840" max="14080" width="9.140625" style="2"/>
    <col min="14081" max="14081" width="10.140625" style="2" bestFit="1" customWidth="1"/>
    <col min="14082" max="14083" width="9.140625" style="2"/>
    <col min="14084" max="14084" width="20.85546875" style="2" customWidth="1"/>
    <col min="14085" max="14085" width="12.85546875" style="2" bestFit="1" customWidth="1"/>
    <col min="14086" max="14086" width="9.140625" style="2"/>
    <col min="14087" max="14087" width="19.85546875" style="2" customWidth="1"/>
    <col min="14088" max="14088" width="14.7109375" style="2" customWidth="1"/>
    <col min="14089" max="14089" width="34" style="2" bestFit="1" customWidth="1"/>
    <col min="14090" max="14090" width="4" style="2" customWidth="1"/>
    <col min="14091" max="14091" width="14.140625" style="2" customWidth="1"/>
    <col min="14092" max="14092" width="11.42578125" style="2" customWidth="1"/>
    <col min="14093" max="14095" width="9.28515625" style="2" bestFit="1" customWidth="1"/>
    <col min="14096" max="14336" width="9.140625" style="2"/>
    <col min="14337" max="14337" width="10.140625" style="2" bestFit="1" customWidth="1"/>
    <col min="14338" max="14339" width="9.140625" style="2"/>
    <col min="14340" max="14340" width="20.85546875" style="2" customWidth="1"/>
    <col min="14341" max="14341" width="12.85546875" style="2" bestFit="1" customWidth="1"/>
    <col min="14342" max="14342" width="9.140625" style="2"/>
    <col min="14343" max="14343" width="19.85546875" style="2" customWidth="1"/>
    <col min="14344" max="14344" width="14.7109375" style="2" customWidth="1"/>
    <col min="14345" max="14345" width="34" style="2" bestFit="1" customWidth="1"/>
    <col min="14346" max="14346" width="4" style="2" customWidth="1"/>
    <col min="14347" max="14347" width="14.140625" style="2" customWidth="1"/>
    <col min="14348" max="14348" width="11.42578125" style="2" customWidth="1"/>
    <col min="14349" max="14351" width="9.28515625" style="2" bestFit="1" customWidth="1"/>
    <col min="14352" max="14592" width="9.140625" style="2"/>
    <col min="14593" max="14593" width="10.140625" style="2" bestFit="1" customWidth="1"/>
    <col min="14594" max="14595" width="9.140625" style="2"/>
    <col min="14596" max="14596" width="20.85546875" style="2" customWidth="1"/>
    <col min="14597" max="14597" width="12.85546875" style="2" bestFit="1" customWidth="1"/>
    <col min="14598" max="14598" width="9.140625" style="2"/>
    <col min="14599" max="14599" width="19.85546875" style="2" customWidth="1"/>
    <col min="14600" max="14600" width="14.7109375" style="2" customWidth="1"/>
    <col min="14601" max="14601" width="34" style="2" bestFit="1" customWidth="1"/>
    <col min="14602" max="14602" width="4" style="2" customWidth="1"/>
    <col min="14603" max="14603" width="14.140625" style="2" customWidth="1"/>
    <col min="14604" max="14604" width="11.42578125" style="2" customWidth="1"/>
    <col min="14605" max="14607" width="9.28515625" style="2" bestFit="1" customWidth="1"/>
    <col min="14608" max="14848" width="9.140625" style="2"/>
    <col min="14849" max="14849" width="10.140625" style="2" bestFit="1" customWidth="1"/>
    <col min="14850" max="14851" width="9.140625" style="2"/>
    <col min="14852" max="14852" width="20.85546875" style="2" customWidth="1"/>
    <col min="14853" max="14853" width="12.85546875" style="2" bestFit="1" customWidth="1"/>
    <col min="14854" max="14854" width="9.140625" style="2"/>
    <col min="14855" max="14855" width="19.85546875" style="2" customWidth="1"/>
    <col min="14856" max="14856" width="14.7109375" style="2" customWidth="1"/>
    <col min="14857" max="14857" width="34" style="2" bestFit="1" customWidth="1"/>
    <col min="14858" max="14858" width="4" style="2" customWidth="1"/>
    <col min="14859" max="14859" width="14.140625" style="2" customWidth="1"/>
    <col min="14860" max="14860" width="11.42578125" style="2" customWidth="1"/>
    <col min="14861" max="14863" width="9.28515625" style="2" bestFit="1" customWidth="1"/>
    <col min="14864" max="15104" width="9.140625" style="2"/>
    <col min="15105" max="15105" width="10.140625" style="2" bestFit="1" customWidth="1"/>
    <col min="15106" max="15107" width="9.140625" style="2"/>
    <col min="15108" max="15108" width="20.85546875" style="2" customWidth="1"/>
    <col min="15109" max="15109" width="12.85546875" style="2" bestFit="1" customWidth="1"/>
    <col min="15110" max="15110" width="9.140625" style="2"/>
    <col min="15111" max="15111" width="19.85546875" style="2" customWidth="1"/>
    <col min="15112" max="15112" width="14.7109375" style="2" customWidth="1"/>
    <col min="15113" max="15113" width="34" style="2" bestFit="1" customWidth="1"/>
    <col min="15114" max="15114" width="4" style="2" customWidth="1"/>
    <col min="15115" max="15115" width="14.140625" style="2" customWidth="1"/>
    <col min="15116" max="15116" width="11.42578125" style="2" customWidth="1"/>
    <col min="15117" max="15119" width="9.28515625" style="2" bestFit="1" customWidth="1"/>
    <col min="15120" max="15360" width="9.140625" style="2"/>
    <col min="15361" max="15361" width="10.140625" style="2" bestFit="1" customWidth="1"/>
    <col min="15362" max="15363" width="9.140625" style="2"/>
    <col min="15364" max="15364" width="20.85546875" style="2" customWidth="1"/>
    <col min="15365" max="15365" width="12.85546875" style="2" bestFit="1" customWidth="1"/>
    <col min="15366" max="15366" width="9.140625" style="2"/>
    <col min="15367" max="15367" width="19.85546875" style="2" customWidth="1"/>
    <col min="15368" max="15368" width="14.7109375" style="2" customWidth="1"/>
    <col min="15369" max="15369" width="34" style="2" bestFit="1" customWidth="1"/>
    <col min="15370" max="15370" width="4" style="2" customWidth="1"/>
    <col min="15371" max="15371" width="14.140625" style="2" customWidth="1"/>
    <col min="15372" max="15372" width="11.42578125" style="2" customWidth="1"/>
    <col min="15373" max="15375" width="9.28515625" style="2" bestFit="1" customWidth="1"/>
    <col min="15376" max="15616" width="9.140625" style="2"/>
    <col min="15617" max="15617" width="10.140625" style="2" bestFit="1" customWidth="1"/>
    <col min="15618" max="15619" width="9.140625" style="2"/>
    <col min="15620" max="15620" width="20.85546875" style="2" customWidth="1"/>
    <col min="15621" max="15621" width="12.85546875" style="2" bestFit="1" customWidth="1"/>
    <col min="15622" max="15622" width="9.140625" style="2"/>
    <col min="15623" max="15623" width="19.85546875" style="2" customWidth="1"/>
    <col min="15624" max="15624" width="14.7109375" style="2" customWidth="1"/>
    <col min="15625" max="15625" width="34" style="2" bestFit="1" customWidth="1"/>
    <col min="15626" max="15626" width="4" style="2" customWidth="1"/>
    <col min="15627" max="15627" width="14.140625" style="2" customWidth="1"/>
    <col min="15628" max="15628" width="11.42578125" style="2" customWidth="1"/>
    <col min="15629" max="15631" width="9.28515625" style="2" bestFit="1" customWidth="1"/>
    <col min="15632" max="15872" width="9.140625" style="2"/>
    <col min="15873" max="15873" width="10.140625" style="2" bestFit="1" customWidth="1"/>
    <col min="15874" max="15875" width="9.140625" style="2"/>
    <col min="15876" max="15876" width="20.85546875" style="2" customWidth="1"/>
    <col min="15877" max="15877" width="12.85546875" style="2" bestFit="1" customWidth="1"/>
    <col min="15878" max="15878" width="9.140625" style="2"/>
    <col min="15879" max="15879" width="19.85546875" style="2" customWidth="1"/>
    <col min="15880" max="15880" width="14.7109375" style="2" customWidth="1"/>
    <col min="15881" max="15881" width="34" style="2" bestFit="1" customWidth="1"/>
    <col min="15882" max="15882" width="4" style="2" customWidth="1"/>
    <col min="15883" max="15883" width="14.140625" style="2" customWidth="1"/>
    <col min="15884" max="15884" width="11.42578125" style="2" customWidth="1"/>
    <col min="15885" max="15887" width="9.28515625" style="2" bestFit="1" customWidth="1"/>
    <col min="15888" max="16128" width="9.140625" style="2"/>
    <col min="16129" max="16129" width="10.140625" style="2" bestFit="1" customWidth="1"/>
    <col min="16130" max="16131" width="9.140625" style="2"/>
    <col min="16132" max="16132" width="20.85546875" style="2" customWidth="1"/>
    <col min="16133" max="16133" width="12.85546875" style="2" bestFit="1" customWidth="1"/>
    <col min="16134" max="16134" width="9.140625" style="2"/>
    <col min="16135" max="16135" width="19.85546875" style="2" customWidth="1"/>
    <col min="16136" max="16136" width="14.7109375" style="2" customWidth="1"/>
    <col min="16137" max="16137" width="34" style="2" bestFit="1" customWidth="1"/>
    <col min="16138" max="16138" width="4" style="2" customWidth="1"/>
    <col min="16139" max="16139" width="14.140625" style="2" customWidth="1"/>
    <col min="16140" max="16140" width="11.42578125" style="2" customWidth="1"/>
    <col min="16141" max="16143" width="9.28515625" style="2" bestFit="1" customWidth="1"/>
    <col min="16144" max="16384" width="9.140625" style="2"/>
  </cols>
  <sheetData>
    <row r="1" spans="1:9" ht="33.75" customHeight="1" thickBot="1" x14ac:dyDescent="0.3">
      <c r="A1" s="360" t="s">
        <v>158</v>
      </c>
      <c r="B1" s="361"/>
      <c r="C1" s="361"/>
      <c r="D1" s="361"/>
      <c r="E1" s="361"/>
      <c r="F1" s="361"/>
      <c r="G1" s="361"/>
      <c r="H1" s="361"/>
      <c r="I1" s="362"/>
    </row>
    <row r="2" spans="1:9" ht="8.1" customHeight="1" thickBot="1" x14ac:dyDescent="0.3">
      <c r="A2" s="312"/>
      <c r="B2" s="313"/>
      <c r="C2" s="313"/>
      <c r="D2" s="313"/>
      <c r="E2" s="313"/>
      <c r="F2" s="313"/>
      <c r="G2" s="313"/>
      <c r="H2" s="313"/>
      <c r="I2" s="314"/>
    </row>
    <row r="3" spans="1:9" ht="16.5" thickBot="1" x14ac:dyDescent="0.3">
      <c r="A3" s="299" t="s">
        <v>40</v>
      </c>
      <c r="B3" s="300"/>
      <c r="C3" s="300"/>
      <c r="D3" s="300"/>
      <c r="E3" s="300"/>
      <c r="F3" s="300"/>
      <c r="G3" s="300"/>
      <c r="H3" s="300"/>
      <c r="I3" s="301"/>
    </row>
    <row r="4" spans="1:9" x14ac:dyDescent="0.25">
      <c r="A4" s="3" t="s">
        <v>2</v>
      </c>
      <c r="B4" s="337" t="s">
        <v>41</v>
      </c>
      <c r="C4" s="338"/>
      <c r="D4" s="338"/>
      <c r="E4" s="338"/>
      <c r="F4" s="338"/>
      <c r="G4" s="338"/>
      <c r="H4" s="339"/>
      <c r="I4" s="4"/>
    </row>
    <row r="5" spans="1:9" x14ac:dyDescent="0.25">
      <c r="A5" s="5" t="s">
        <v>3</v>
      </c>
      <c r="B5" s="302" t="s">
        <v>42</v>
      </c>
      <c r="C5" s="303"/>
      <c r="D5" s="303"/>
      <c r="E5" s="303"/>
      <c r="F5" s="303"/>
      <c r="G5" s="303"/>
      <c r="H5" s="304"/>
      <c r="I5" s="6" t="s">
        <v>155</v>
      </c>
    </row>
    <row r="6" spans="1:9" x14ac:dyDescent="0.25">
      <c r="A6" s="5" t="s">
        <v>5</v>
      </c>
      <c r="B6" s="324" t="s">
        <v>43</v>
      </c>
      <c r="C6" s="277"/>
      <c r="D6" s="277"/>
      <c r="E6" s="277"/>
      <c r="F6" s="277"/>
      <c r="G6" s="277"/>
      <c r="H6" s="278"/>
      <c r="I6" s="1" t="s">
        <v>344</v>
      </c>
    </row>
    <row r="7" spans="1:9" ht="16.5" thickBot="1" x14ac:dyDescent="0.3">
      <c r="A7" s="7" t="s">
        <v>6</v>
      </c>
      <c r="B7" s="334" t="s">
        <v>44</v>
      </c>
      <c r="C7" s="335"/>
      <c r="D7" s="335"/>
      <c r="E7" s="335"/>
      <c r="F7" s="335"/>
      <c r="G7" s="335"/>
      <c r="H7" s="336"/>
      <c r="I7" s="8">
        <v>12</v>
      </c>
    </row>
    <row r="8" spans="1:9" ht="7.5" customHeight="1" thickBot="1" x14ac:dyDescent="0.3">
      <c r="A8" s="312"/>
      <c r="B8" s="313"/>
      <c r="C8" s="313"/>
      <c r="D8" s="313"/>
      <c r="E8" s="313"/>
      <c r="F8" s="313"/>
      <c r="G8" s="313"/>
      <c r="H8" s="313"/>
      <c r="I8" s="314"/>
    </row>
    <row r="9" spans="1:9" ht="15.75" customHeight="1" thickBot="1" x14ac:dyDescent="0.3">
      <c r="A9" s="299" t="s">
        <v>45</v>
      </c>
      <c r="B9" s="300"/>
      <c r="C9" s="300"/>
      <c r="D9" s="300"/>
      <c r="E9" s="300"/>
      <c r="F9" s="300"/>
      <c r="G9" s="300"/>
      <c r="H9" s="300"/>
      <c r="I9" s="301"/>
    </row>
    <row r="10" spans="1:9" ht="27" customHeight="1" x14ac:dyDescent="0.25">
      <c r="A10" s="350" t="s">
        <v>32</v>
      </c>
      <c r="B10" s="351"/>
      <c r="C10" s="351"/>
      <c r="D10" s="351"/>
      <c r="E10" s="351"/>
      <c r="F10" s="347"/>
      <c r="G10" s="346" t="s">
        <v>33</v>
      </c>
      <c r="H10" s="347"/>
      <c r="I10" s="45" t="s">
        <v>46</v>
      </c>
    </row>
    <row r="11" spans="1:9" ht="48" customHeight="1" thickBot="1" x14ac:dyDescent="0.3">
      <c r="A11" s="352" t="s">
        <v>177</v>
      </c>
      <c r="B11" s="353"/>
      <c r="C11" s="353"/>
      <c r="D11" s="353"/>
      <c r="E11" s="353"/>
      <c r="F11" s="354"/>
      <c r="G11" s="348" t="s">
        <v>113</v>
      </c>
      <c r="H11" s="349"/>
      <c r="I11" s="44">
        <v>1</v>
      </c>
    </row>
    <row r="12" spans="1:9" ht="7.5" customHeight="1" thickBot="1" x14ac:dyDescent="0.3">
      <c r="A12" s="312"/>
      <c r="B12" s="313"/>
      <c r="C12" s="313"/>
      <c r="D12" s="313"/>
      <c r="E12" s="313"/>
      <c r="F12" s="313"/>
      <c r="G12" s="313"/>
      <c r="H12" s="313"/>
      <c r="I12" s="314"/>
    </row>
    <row r="13" spans="1:9" ht="15.75" customHeight="1" thickBot="1" x14ac:dyDescent="0.3">
      <c r="A13" s="299" t="s">
        <v>47</v>
      </c>
      <c r="B13" s="300"/>
      <c r="C13" s="300"/>
      <c r="D13" s="300"/>
      <c r="E13" s="300"/>
      <c r="F13" s="300"/>
      <c r="G13" s="300"/>
      <c r="H13" s="300"/>
      <c r="I13" s="301"/>
    </row>
    <row r="14" spans="1:9" ht="15.75" customHeight="1" thickBot="1" x14ac:dyDescent="0.3">
      <c r="A14" s="299" t="s">
        <v>34</v>
      </c>
      <c r="B14" s="300"/>
      <c r="C14" s="300"/>
      <c r="D14" s="300"/>
      <c r="E14" s="300"/>
      <c r="F14" s="300"/>
      <c r="G14" s="300"/>
      <c r="H14" s="300"/>
      <c r="I14" s="301"/>
    </row>
    <row r="15" spans="1:9" ht="16.5" thickBot="1" x14ac:dyDescent="0.3">
      <c r="A15" s="343" t="s">
        <v>35</v>
      </c>
      <c r="B15" s="344"/>
      <c r="C15" s="344"/>
      <c r="D15" s="344"/>
      <c r="E15" s="344"/>
      <c r="F15" s="344"/>
      <c r="G15" s="344"/>
      <c r="H15" s="344"/>
      <c r="I15" s="345"/>
    </row>
    <row r="16" spans="1:9" ht="16.5" thickBot="1" x14ac:dyDescent="0.3">
      <c r="A16" s="299" t="s">
        <v>48</v>
      </c>
      <c r="B16" s="300"/>
      <c r="C16" s="300"/>
      <c r="D16" s="300"/>
      <c r="E16" s="300"/>
      <c r="F16" s="300"/>
      <c r="G16" s="300"/>
      <c r="H16" s="300"/>
      <c r="I16" s="301"/>
    </row>
    <row r="17" spans="1:9" x14ac:dyDescent="0.25">
      <c r="A17" s="3">
        <v>1</v>
      </c>
      <c r="B17" s="337" t="s">
        <v>49</v>
      </c>
      <c r="C17" s="338"/>
      <c r="D17" s="338"/>
      <c r="E17" s="338"/>
      <c r="F17" s="338"/>
      <c r="G17" s="338"/>
      <c r="H17" s="339"/>
      <c r="I17" s="9" t="s">
        <v>193</v>
      </c>
    </row>
    <row r="18" spans="1:9" ht="15.75" customHeight="1" x14ac:dyDescent="0.25">
      <c r="A18" s="5">
        <v>2</v>
      </c>
      <c r="B18" s="324" t="s">
        <v>36</v>
      </c>
      <c r="C18" s="277"/>
      <c r="D18" s="277"/>
      <c r="E18" s="277"/>
      <c r="F18" s="277"/>
      <c r="G18" s="277"/>
      <c r="H18" s="278"/>
      <c r="I18" s="6" t="s">
        <v>232</v>
      </c>
    </row>
    <row r="19" spans="1:9" ht="15.75" customHeight="1" x14ac:dyDescent="0.25">
      <c r="A19" s="5">
        <v>3</v>
      </c>
      <c r="B19" s="324" t="s">
        <v>50</v>
      </c>
      <c r="C19" s="277"/>
      <c r="D19" s="277"/>
      <c r="E19" s="277"/>
      <c r="F19" s="277"/>
      <c r="G19" s="277"/>
      <c r="H19" s="278"/>
      <c r="I19" s="10">
        <v>1553.96</v>
      </c>
    </row>
    <row r="20" spans="1:9" ht="15.75" customHeight="1" x14ac:dyDescent="0.25">
      <c r="A20" s="5">
        <v>4</v>
      </c>
      <c r="B20" s="302" t="s">
        <v>51</v>
      </c>
      <c r="C20" s="303"/>
      <c r="D20" s="303"/>
      <c r="E20" s="303"/>
      <c r="F20" s="303"/>
      <c r="G20" s="303"/>
      <c r="H20" s="304"/>
      <c r="I20" s="6" t="s">
        <v>343</v>
      </c>
    </row>
    <row r="21" spans="1:9" ht="15.75" customHeight="1" thickBot="1" x14ac:dyDescent="0.3">
      <c r="A21" s="7">
        <v>5</v>
      </c>
      <c r="B21" s="334" t="s">
        <v>52</v>
      </c>
      <c r="C21" s="335"/>
      <c r="D21" s="335"/>
      <c r="E21" s="335"/>
      <c r="F21" s="335"/>
      <c r="G21" s="335"/>
      <c r="H21" s="336"/>
      <c r="I21" s="11">
        <v>45292</v>
      </c>
    </row>
    <row r="22" spans="1:9" ht="53.25" customHeight="1" thickBot="1" x14ac:dyDescent="0.3">
      <c r="A22" s="340" t="s">
        <v>137</v>
      </c>
      <c r="B22" s="341"/>
      <c r="C22" s="341"/>
      <c r="D22" s="341"/>
      <c r="E22" s="341"/>
      <c r="F22" s="341"/>
      <c r="G22" s="341"/>
      <c r="H22" s="341"/>
      <c r="I22" s="342"/>
    </row>
    <row r="23" spans="1:9" ht="16.5" thickBot="1" x14ac:dyDescent="0.3">
      <c r="A23" s="299" t="s">
        <v>53</v>
      </c>
      <c r="B23" s="300"/>
      <c r="C23" s="300"/>
      <c r="D23" s="300"/>
      <c r="E23" s="300"/>
      <c r="F23" s="300"/>
      <c r="G23" s="300"/>
      <c r="H23" s="300"/>
      <c r="I23" s="301"/>
    </row>
    <row r="24" spans="1:9" x14ac:dyDescent="0.25">
      <c r="A24" s="63">
        <v>1</v>
      </c>
      <c r="B24" s="290" t="s">
        <v>54</v>
      </c>
      <c r="C24" s="291"/>
      <c r="D24" s="291"/>
      <c r="E24" s="291"/>
      <c r="F24" s="291"/>
      <c r="G24" s="292"/>
      <c r="H24" s="62" t="s">
        <v>55</v>
      </c>
      <c r="I24" s="12" t="s">
        <v>56</v>
      </c>
    </row>
    <row r="25" spans="1:9" x14ac:dyDescent="0.25">
      <c r="A25" s="13" t="s">
        <v>2</v>
      </c>
      <c r="B25" s="324" t="s">
        <v>57</v>
      </c>
      <c r="C25" s="277"/>
      <c r="D25" s="277"/>
      <c r="E25" s="277"/>
      <c r="F25" s="277"/>
      <c r="G25" s="278"/>
      <c r="H25" s="98"/>
      <c r="I25" s="14">
        <f>I19</f>
        <v>1553.96</v>
      </c>
    </row>
    <row r="26" spans="1:9" x14ac:dyDescent="0.25">
      <c r="A26" s="13" t="s">
        <v>3</v>
      </c>
      <c r="B26" s="324" t="s">
        <v>58</v>
      </c>
      <c r="C26" s="277"/>
      <c r="D26" s="277"/>
      <c r="E26" s="277"/>
      <c r="F26" s="277"/>
      <c r="G26" s="278"/>
      <c r="H26" s="15"/>
      <c r="I26" s="14">
        <f>H26*G26</f>
        <v>0</v>
      </c>
    </row>
    <row r="27" spans="1:9" x14ac:dyDescent="0.25">
      <c r="A27" s="13" t="s">
        <v>5</v>
      </c>
      <c r="B27" s="324" t="s">
        <v>4</v>
      </c>
      <c r="C27" s="277"/>
      <c r="D27" s="277"/>
      <c r="E27" s="277"/>
      <c r="F27" s="277"/>
      <c r="G27" s="278"/>
      <c r="H27" s="15">
        <v>0</v>
      </c>
      <c r="I27" s="14">
        <f>H27*I25</f>
        <v>0</v>
      </c>
    </row>
    <row r="28" spans="1:9" x14ac:dyDescent="0.25">
      <c r="A28" s="13" t="s">
        <v>6</v>
      </c>
      <c r="B28" s="324" t="s">
        <v>59</v>
      </c>
      <c r="C28" s="277"/>
      <c r="D28" s="277"/>
      <c r="E28" s="277"/>
      <c r="F28" s="277"/>
      <c r="G28" s="278"/>
      <c r="H28" s="16"/>
      <c r="I28" s="14">
        <f t="shared" ref="I28:I29" si="0">H28*I26</f>
        <v>0</v>
      </c>
    </row>
    <row r="29" spans="1:9" x14ac:dyDescent="0.25">
      <c r="A29" s="13" t="s">
        <v>7</v>
      </c>
      <c r="B29" s="324" t="s">
        <v>60</v>
      </c>
      <c r="C29" s="277"/>
      <c r="D29" s="277"/>
      <c r="E29" s="277"/>
      <c r="F29" s="277"/>
      <c r="G29" s="278"/>
      <c r="H29" s="61"/>
      <c r="I29" s="14">
        <f t="shared" si="0"/>
        <v>0</v>
      </c>
    </row>
    <row r="30" spans="1:9" x14ac:dyDescent="0.25">
      <c r="A30" s="13" t="s">
        <v>8</v>
      </c>
      <c r="B30" s="324" t="s">
        <v>342</v>
      </c>
      <c r="C30" s="277"/>
      <c r="D30" s="277"/>
      <c r="E30" s="277"/>
      <c r="F30" s="277"/>
      <c r="G30" s="278"/>
      <c r="H30" s="15"/>
      <c r="I30" s="14">
        <f>H30*I25</f>
        <v>0</v>
      </c>
    </row>
    <row r="31" spans="1:9" ht="16.5" thickBot="1" x14ac:dyDescent="0.3">
      <c r="A31" s="287" t="s">
        <v>61</v>
      </c>
      <c r="B31" s="288"/>
      <c r="C31" s="288"/>
      <c r="D31" s="288"/>
      <c r="E31" s="288"/>
      <c r="F31" s="288"/>
      <c r="G31" s="288"/>
      <c r="H31" s="289"/>
      <c r="I31" s="17">
        <f>ROUND(SUM(I25:I30),2)</f>
        <v>1553.96</v>
      </c>
    </row>
    <row r="32" spans="1:9" ht="7.5" customHeight="1" thickBot="1" x14ac:dyDescent="0.3">
      <c r="A32" s="296"/>
      <c r="B32" s="297"/>
      <c r="C32" s="297"/>
      <c r="D32" s="297"/>
      <c r="E32" s="297"/>
      <c r="F32" s="297"/>
      <c r="G32" s="297"/>
      <c r="H32" s="297"/>
      <c r="I32" s="298"/>
    </row>
    <row r="33" spans="1:12" ht="16.5" thickBot="1" x14ac:dyDescent="0.3">
      <c r="A33" s="299" t="s">
        <v>62</v>
      </c>
      <c r="B33" s="300"/>
      <c r="C33" s="300"/>
      <c r="D33" s="300"/>
      <c r="E33" s="300"/>
      <c r="F33" s="300"/>
      <c r="G33" s="300"/>
      <c r="H33" s="300"/>
      <c r="I33" s="301"/>
    </row>
    <row r="34" spans="1:12" x14ac:dyDescent="0.25">
      <c r="A34" s="311" t="s">
        <v>63</v>
      </c>
      <c r="B34" s="291"/>
      <c r="C34" s="291"/>
      <c r="D34" s="291"/>
      <c r="E34" s="291"/>
      <c r="F34" s="291"/>
      <c r="G34" s="292"/>
      <c r="H34" s="62" t="s">
        <v>55</v>
      </c>
      <c r="I34" s="12" t="s">
        <v>56</v>
      </c>
    </row>
    <row r="35" spans="1:12" ht="35.25" customHeight="1" x14ac:dyDescent="0.25">
      <c r="A35" s="13" t="s">
        <v>2</v>
      </c>
      <c r="B35" s="357" t="s">
        <v>138</v>
      </c>
      <c r="C35" s="358"/>
      <c r="D35" s="358"/>
      <c r="E35" s="358"/>
      <c r="F35" s="358"/>
      <c r="G35" s="359"/>
      <c r="H35" s="18">
        <f>((1/12)*100%)</f>
        <v>8.3333333333333329E-2</v>
      </c>
      <c r="I35" s="14">
        <f>ROUND(($I$31*H35),2)</f>
        <v>129.5</v>
      </c>
    </row>
    <row r="36" spans="1:12" ht="79.5" customHeight="1" x14ac:dyDescent="0.25">
      <c r="A36" s="13" t="s">
        <v>3</v>
      </c>
      <c r="B36" s="357" t="s">
        <v>156</v>
      </c>
      <c r="C36" s="358"/>
      <c r="D36" s="358"/>
      <c r="E36" s="358"/>
      <c r="F36" s="358"/>
      <c r="G36" s="359"/>
      <c r="H36" s="18">
        <v>0.121</v>
      </c>
      <c r="I36" s="14">
        <f>ROUND(($I$31*H36),2)</f>
        <v>188.03</v>
      </c>
      <c r="J36" s="19"/>
      <c r="K36" s="20"/>
    </row>
    <row r="37" spans="1:12" ht="16.5" thickBot="1" x14ac:dyDescent="0.3">
      <c r="A37" s="287" t="s">
        <v>64</v>
      </c>
      <c r="B37" s="288"/>
      <c r="C37" s="288"/>
      <c r="D37" s="288"/>
      <c r="E37" s="288"/>
      <c r="F37" s="288"/>
      <c r="G37" s="289"/>
      <c r="H37" s="21">
        <f>SUM(H35:H36)</f>
        <v>0.20433333333333331</v>
      </c>
      <c r="I37" s="17">
        <f>SUM(I35:I36)</f>
        <v>317.52999999999997</v>
      </c>
      <c r="K37" s="23"/>
      <c r="L37" s="23"/>
    </row>
    <row r="38" spans="1:12" ht="84" customHeight="1" thickBot="1" x14ac:dyDescent="0.3">
      <c r="A38" s="308" t="s">
        <v>139</v>
      </c>
      <c r="B38" s="355"/>
      <c r="C38" s="355"/>
      <c r="D38" s="355"/>
      <c r="E38" s="355"/>
      <c r="F38" s="355"/>
      <c r="G38" s="355"/>
      <c r="H38" s="355"/>
      <c r="I38" s="356"/>
    </row>
    <row r="39" spans="1:12" ht="15.75" customHeight="1" x14ac:dyDescent="0.25">
      <c r="A39" s="311" t="s">
        <v>65</v>
      </c>
      <c r="B39" s="291"/>
      <c r="C39" s="291"/>
      <c r="D39" s="291"/>
      <c r="E39" s="291"/>
      <c r="F39" s="291"/>
      <c r="G39" s="292"/>
      <c r="H39" s="64" t="s">
        <v>55</v>
      </c>
      <c r="I39" s="22" t="s">
        <v>56</v>
      </c>
    </row>
    <row r="40" spans="1:12" x14ac:dyDescent="0.25">
      <c r="A40" s="13" t="s">
        <v>2</v>
      </c>
      <c r="B40" s="324" t="s">
        <v>66</v>
      </c>
      <c r="C40" s="277"/>
      <c r="D40" s="277"/>
      <c r="E40" s="277"/>
      <c r="F40" s="277"/>
      <c r="G40" s="278"/>
      <c r="H40" s="18">
        <v>0.2</v>
      </c>
      <c r="I40" s="14">
        <f>ROUND((($I$31+$I$37)*H40),2)</f>
        <v>374.3</v>
      </c>
    </row>
    <row r="41" spans="1:12" ht="15.75" customHeight="1" x14ac:dyDescent="0.25">
      <c r="A41" s="13" t="s">
        <v>3</v>
      </c>
      <c r="B41" s="324" t="s">
        <v>67</v>
      </c>
      <c r="C41" s="277"/>
      <c r="D41" s="277"/>
      <c r="E41" s="277"/>
      <c r="F41" s="277"/>
      <c r="G41" s="278"/>
      <c r="H41" s="18">
        <v>2.5000000000000001E-2</v>
      </c>
      <c r="I41" s="14">
        <f t="shared" ref="I41:I47" si="1">ROUND((($I$31+$I$37)*H41),2)</f>
        <v>46.79</v>
      </c>
    </row>
    <row r="42" spans="1:12" ht="33" customHeight="1" x14ac:dyDescent="0.25">
      <c r="A42" s="13" t="s">
        <v>5</v>
      </c>
      <c r="B42" s="357" t="s">
        <v>140</v>
      </c>
      <c r="C42" s="358"/>
      <c r="D42" s="358"/>
      <c r="E42" s="358"/>
      <c r="F42" s="358"/>
      <c r="G42" s="359"/>
      <c r="H42" s="18">
        <v>0.03</v>
      </c>
      <c r="I42" s="14">
        <f t="shared" si="1"/>
        <v>56.14</v>
      </c>
    </row>
    <row r="43" spans="1:12" x14ac:dyDescent="0.25">
      <c r="A43" s="13" t="s">
        <v>6</v>
      </c>
      <c r="B43" s="324" t="s">
        <v>12</v>
      </c>
      <c r="C43" s="277"/>
      <c r="D43" s="277"/>
      <c r="E43" s="277"/>
      <c r="F43" s="277"/>
      <c r="G43" s="278"/>
      <c r="H43" s="18">
        <v>1.4999999999999999E-2</v>
      </c>
      <c r="I43" s="14">
        <f t="shared" si="1"/>
        <v>28.07</v>
      </c>
    </row>
    <row r="44" spans="1:12" x14ac:dyDescent="0.25">
      <c r="A44" s="13" t="s">
        <v>7</v>
      </c>
      <c r="B44" s="324" t="s">
        <v>68</v>
      </c>
      <c r="C44" s="277"/>
      <c r="D44" s="277"/>
      <c r="E44" s="277"/>
      <c r="F44" s="277"/>
      <c r="G44" s="278"/>
      <c r="H44" s="18">
        <v>0.01</v>
      </c>
      <c r="I44" s="14">
        <f t="shared" si="1"/>
        <v>18.71</v>
      </c>
    </row>
    <row r="45" spans="1:12" x14ac:dyDescent="0.25">
      <c r="A45" s="13" t="s">
        <v>8</v>
      </c>
      <c r="B45" s="324" t="s">
        <v>69</v>
      </c>
      <c r="C45" s="277"/>
      <c r="D45" s="277"/>
      <c r="E45" s="277"/>
      <c r="F45" s="277"/>
      <c r="G45" s="278"/>
      <c r="H45" s="18">
        <v>6.0000000000000001E-3</v>
      </c>
      <c r="I45" s="14">
        <f t="shared" si="1"/>
        <v>11.23</v>
      </c>
    </row>
    <row r="46" spans="1:12" x14ac:dyDescent="0.25">
      <c r="A46" s="13" t="s">
        <v>9</v>
      </c>
      <c r="B46" s="324" t="s">
        <v>70</v>
      </c>
      <c r="C46" s="277"/>
      <c r="D46" s="277"/>
      <c r="E46" s="277"/>
      <c r="F46" s="277"/>
      <c r="G46" s="278"/>
      <c r="H46" s="18">
        <v>2E-3</v>
      </c>
      <c r="I46" s="14">
        <f t="shared" si="1"/>
        <v>3.74</v>
      </c>
    </row>
    <row r="47" spans="1:12" ht="15.75" customHeight="1" x14ac:dyDescent="0.25">
      <c r="A47" s="13" t="s">
        <v>13</v>
      </c>
      <c r="B47" s="324" t="s">
        <v>71</v>
      </c>
      <c r="C47" s="277"/>
      <c r="D47" s="277"/>
      <c r="E47" s="277"/>
      <c r="F47" s="277"/>
      <c r="G47" s="278"/>
      <c r="H47" s="18">
        <v>0.08</v>
      </c>
      <c r="I47" s="14">
        <f t="shared" si="1"/>
        <v>149.72</v>
      </c>
    </row>
    <row r="48" spans="1:12" ht="16.5" thickBot="1" x14ac:dyDescent="0.3">
      <c r="A48" s="287" t="s">
        <v>72</v>
      </c>
      <c r="B48" s="288"/>
      <c r="C48" s="288"/>
      <c r="D48" s="288"/>
      <c r="E48" s="288"/>
      <c r="F48" s="288"/>
      <c r="G48" s="289"/>
      <c r="H48" s="21">
        <f>SUM(H40:H47)</f>
        <v>0.36800000000000005</v>
      </c>
      <c r="I48" s="17">
        <f>SUM(I40:I47)</f>
        <v>688.7</v>
      </c>
      <c r="J48" s="23"/>
    </row>
    <row r="49" spans="1:11" ht="46.5" customHeight="1" thickBot="1" x14ac:dyDescent="0.3">
      <c r="A49" s="308" t="s">
        <v>141</v>
      </c>
      <c r="B49" s="332"/>
      <c r="C49" s="332"/>
      <c r="D49" s="332"/>
      <c r="E49" s="332"/>
      <c r="F49" s="332"/>
      <c r="G49" s="332"/>
      <c r="H49" s="332"/>
      <c r="I49" s="333"/>
    </row>
    <row r="50" spans="1:11" x14ac:dyDescent="0.25">
      <c r="A50" s="311" t="s">
        <v>73</v>
      </c>
      <c r="B50" s="291"/>
      <c r="C50" s="291"/>
      <c r="D50" s="291"/>
      <c r="E50" s="291"/>
      <c r="F50" s="291"/>
      <c r="G50" s="292"/>
      <c r="H50" s="24"/>
      <c r="I50" s="22" t="s">
        <v>56</v>
      </c>
    </row>
    <row r="51" spans="1:11" x14ac:dyDescent="0.25">
      <c r="A51" s="13" t="s">
        <v>2</v>
      </c>
      <c r="B51" s="321" t="s">
        <v>307</v>
      </c>
      <c r="C51" s="322"/>
      <c r="D51" s="322"/>
      <c r="E51" s="322"/>
      <c r="F51" s="322"/>
      <c r="G51" s="323"/>
      <c r="H51" s="16" t="s">
        <v>74</v>
      </c>
      <c r="I51" s="14">
        <f>'Transporte (THE)'!D16</f>
        <v>260.92</v>
      </c>
    </row>
    <row r="52" spans="1:11" x14ac:dyDescent="0.25">
      <c r="A52" s="13" t="s">
        <v>3</v>
      </c>
      <c r="B52" s="321" t="s">
        <v>308</v>
      </c>
      <c r="C52" s="322"/>
      <c r="D52" s="322"/>
      <c r="E52" s="322"/>
      <c r="F52" s="322"/>
      <c r="G52" s="323"/>
      <c r="H52" s="25">
        <v>21.53</v>
      </c>
      <c r="I52" s="14">
        <v>473.82</v>
      </c>
    </row>
    <row r="53" spans="1:11" x14ac:dyDescent="0.25">
      <c r="A53" s="13" t="s">
        <v>5</v>
      </c>
      <c r="B53" s="324" t="s">
        <v>310</v>
      </c>
      <c r="C53" s="277"/>
      <c r="D53" s="277"/>
      <c r="E53" s="277"/>
      <c r="F53" s="277"/>
      <c r="G53" s="278"/>
      <c r="H53" s="25"/>
      <c r="I53" s="149">
        <v>104.89</v>
      </c>
    </row>
    <row r="54" spans="1:11" x14ac:dyDescent="0.25">
      <c r="A54" s="13" t="s">
        <v>6</v>
      </c>
      <c r="B54" s="321" t="s">
        <v>309</v>
      </c>
      <c r="C54" s="322"/>
      <c r="D54" s="322"/>
      <c r="E54" s="322"/>
      <c r="F54" s="322"/>
      <c r="G54" s="323"/>
      <c r="H54" s="16" t="s">
        <v>74</v>
      </c>
      <c r="I54" s="149">
        <v>4.4400000000000004</v>
      </c>
      <c r="K54" s="23"/>
    </row>
    <row r="55" spans="1:11" ht="16.5" thickBot="1" x14ac:dyDescent="0.3">
      <c r="A55" s="287" t="s">
        <v>75</v>
      </c>
      <c r="B55" s="288"/>
      <c r="C55" s="288"/>
      <c r="D55" s="288"/>
      <c r="E55" s="288"/>
      <c r="F55" s="288"/>
      <c r="G55" s="288"/>
      <c r="H55" s="289"/>
      <c r="I55" s="17">
        <f>SUM(I51:I54)</f>
        <v>844.07</v>
      </c>
    </row>
    <row r="56" spans="1:11" ht="70.5" customHeight="1" thickBot="1" x14ac:dyDescent="0.3">
      <c r="A56" s="308" t="s">
        <v>176</v>
      </c>
      <c r="B56" s="330"/>
      <c r="C56" s="330"/>
      <c r="D56" s="330"/>
      <c r="E56" s="330"/>
      <c r="F56" s="330"/>
      <c r="G56" s="330"/>
      <c r="H56" s="330"/>
      <c r="I56" s="331"/>
    </row>
    <row r="57" spans="1:11" ht="16.5" thickBot="1" x14ac:dyDescent="0.3">
      <c r="A57" s="299" t="s">
        <v>76</v>
      </c>
      <c r="B57" s="300"/>
      <c r="C57" s="300"/>
      <c r="D57" s="300"/>
      <c r="E57" s="300"/>
      <c r="F57" s="300"/>
      <c r="G57" s="300"/>
      <c r="H57" s="300"/>
      <c r="I57" s="301"/>
    </row>
    <row r="58" spans="1:11" x14ac:dyDescent="0.25">
      <c r="A58" s="311" t="s">
        <v>77</v>
      </c>
      <c r="B58" s="291"/>
      <c r="C58" s="291"/>
      <c r="D58" s="291"/>
      <c r="E58" s="291"/>
      <c r="F58" s="291"/>
      <c r="G58" s="291"/>
      <c r="H58" s="292"/>
      <c r="I58" s="12" t="s">
        <v>56</v>
      </c>
    </row>
    <row r="59" spans="1:11" x14ac:dyDescent="0.25">
      <c r="A59" s="13" t="s">
        <v>10</v>
      </c>
      <c r="B59" s="324" t="s">
        <v>78</v>
      </c>
      <c r="C59" s="277"/>
      <c r="D59" s="277"/>
      <c r="E59" s="277"/>
      <c r="F59" s="277"/>
      <c r="G59" s="277"/>
      <c r="H59" s="278"/>
      <c r="I59" s="14">
        <f>I37</f>
        <v>317.52999999999997</v>
      </c>
    </row>
    <row r="60" spans="1:11" x14ac:dyDescent="0.25">
      <c r="A60" s="13" t="s">
        <v>11</v>
      </c>
      <c r="B60" s="324" t="s">
        <v>79</v>
      </c>
      <c r="C60" s="277"/>
      <c r="D60" s="277"/>
      <c r="E60" s="277"/>
      <c r="F60" s="277"/>
      <c r="G60" s="277"/>
      <c r="H60" s="278"/>
      <c r="I60" s="14">
        <f>I48</f>
        <v>688.7</v>
      </c>
    </row>
    <row r="61" spans="1:11" x14ac:dyDescent="0.25">
      <c r="A61" s="13" t="s">
        <v>14</v>
      </c>
      <c r="B61" s="324" t="s">
        <v>15</v>
      </c>
      <c r="C61" s="277"/>
      <c r="D61" s="277"/>
      <c r="E61" s="277"/>
      <c r="F61" s="277"/>
      <c r="G61" s="277"/>
      <c r="H61" s="278"/>
      <c r="I61" s="14">
        <f>I55</f>
        <v>844.07</v>
      </c>
    </row>
    <row r="62" spans="1:11" ht="16.5" thickBot="1" x14ac:dyDescent="0.3">
      <c r="A62" s="287" t="s">
        <v>80</v>
      </c>
      <c r="B62" s="288"/>
      <c r="C62" s="288"/>
      <c r="D62" s="288"/>
      <c r="E62" s="288"/>
      <c r="F62" s="288"/>
      <c r="G62" s="288"/>
      <c r="H62" s="289"/>
      <c r="I62" s="17">
        <f>TRUNC(SUM(I59:I61),2)</f>
        <v>1850.3</v>
      </c>
    </row>
    <row r="63" spans="1:11" ht="15" customHeight="1" thickBot="1" x14ac:dyDescent="0.3">
      <c r="A63" s="296"/>
      <c r="B63" s="297"/>
      <c r="C63" s="297"/>
      <c r="D63" s="297"/>
      <c r="E63" s="297"/>
      <c r="F63" s="297"/>
      <c r="G63" s="297"/>
      <c r="H63" s="297"/>
      <c r="I63" s="298"/>
    </row>
    <row r="64" spans="1:11" ht="16.5" thickBot="1" x14ac:dyDescent="0.3">
      <c r="A64" s="299" t="s">
        <v>81</v>
      </c>
      <c r="B64" s="300"/>
      <c r="C64" s="300"/>
      <c r="D64" s="300"/>
      <c r="E64" s="300"/>
      <c r="F64" s="300"/>
      <c r="G64" s="300"/>
      <c r="H64" s="300"/>
      <c r="I64" s="301"/>
    </row>
    <row r="65" spans="1:10" x14ac:dyDescent="0.25">
      <c r="A65" s="63">
        <v>3</v>
      </c>
      <c r="B65" s="290" t="s">
        <v>82</v>
      </c>
      <c r="C65" s="291"/>
      <c r="D65" s="291"/>
      <c r="E65" s="291"/>
      <c r="F65" s="291"/>
      <c r="G65" s="292"/>
      <c r="H65" s="62" t="s">
        <v>55</v>
      </c>
      <c r="I65" s="12" t="s">
        <v>56</v>
      </c>
    </row>
    <row r="66" spans="1:10" ht="70.5" customHeight="1" x14ac:dyDescent="0.25">
      <c r="A66" s="13" t="s">
        <v>2</v>
      </c>
      <c r="B66" s="282" t="s">
        <v>142</v>
      </c>
      <c r="C66" s="283"/>
      <c r="D66" s="283"/>
      <c r="E66" s="283"/>
      <c r="F66" s="283"/>
      <c r="G66" s="284"/>
      <c r="H66" s="18">
        <f>(((1/12)*0.05)*100%)</f>
        <v>4.1666666666666666E-3</v>
      </c>
      <c r="I66" s="14">
        <f>ROUND((I$31*$H$66),2)</f>
        <v>6.47</v>
      </c>
      <c r="J66" s="26"/>
    </row>
    <row r="67" spans="1:10" x14ac:dyDescent="0.25">
      <c r="A67" s="13" t="s">
        <v>3</v>
      </c>
      <c r="B67" s="324" t="s">
        <v>16</v>
      </c>
      <c r="C67" s="277"/>
      <c r="D67" s="277"/>
      <c r="E67" s="277"/>
      <c r="F67" s="277"/>
      <c r="G67" s="278"/>
      <c r="H67" s="18">
        <f>H47*H66</f>
        <v>3.3333333333333332E-4</v>
      </c>
      <c r="I67" s="14">
        <f>ROUND((I$31*$H$67),2)</f>
        <v>0.52</v>
      </c>
    </row>
    <row r="68" spans="1:10" ht="72.75" customHeight="1" x14ac:dyDescent="0.25">
      <c r="A68" s="13" t="s">
        <v>5</v>
      </c>
      <c r="B68" s="282" t="s">
        <v>143</v>
      </c>
      <c r="C68" s="283"/>
      <c r="D68" s="283"/>
      <c r="E68" s="283"/>
      <c r="F68" s="283"/>
      <c r="G68" s="284"/>
      <c r="H68" s="18">
        <f>(((100%/30)*7)/12)</f>
        <v>1.9444444444444445E-2</v>
      </c>
      <c r="I68" s="14">
        <f>ROUND((I$31*$H$68),2)</f>
        <v>30.22</v>
      </c>
      <c r="J68" s="19"/>
    </row>
    <row r="69" spans="1:10" x14ac:dyDescent="0.25">
      <c r="A69" s="13" t="s">
        <v>6</v>
      </c>
      <c r="B69" s="324" t="s">
        <v>83</v>
      </c>
      <c r="C69" s="277"/>
      <c r="D69" s="277"/>
      <c r="E69" s="277"/>
      <c r="F69" s="277"/>
      <c r="G69" s="278"/>
      <c r="H69" s="18">
        <f>H68*H48</f>
        <v>7.1555555555555565E-3</v>
      </c>
      <c r="I69" s="14">
        <f>ROUND((I$31*$H$69),2)</f>
        <v>11.12</v>
      </c>
    </row>
    <row r="70" spans="1:10" ht="54" customHeight="1" x14ac:dyDescent="0.25">
      <c r="A70" s="13" t="s">
        <v>7</v>
      </c>
      <c r="B70" s="282" t="s">
        <v>144</v>
      </c>
      <c r="C70" s="283"/>
      <c r="D70" s="283"/>
      <c r="E70" s="283"/>
      <c r="F70" s="283"/>
      <c r="G70" s="284"/>
      <c r="H70" s="18">
        <v>0.04</v>
      </c>
      <c r="I70" s="14">
        <f>ROUND((I$31*$H$70),2)</f>
        <v>62.16</v>
      </c>
    </row>
    <row r="71" spans="1:10" ht="16.5" thickBot="1" x14ac:dyDescent="0.3">
      <c r="A71" s="287" t="s">
        <v>84</v>
      </c>
      <c r="B71" s="288"/>
      <c r="C71" s="288"/>
      <c r="D71" s="288"/>
      <c r="E71" s="288"/>
      <c r="F71" s="288"/>
      <c r="G71" s="289"/>
      <c r="H71" s="21">
        <f>TRUNC(SUM(H66:H70),4)</f>
        <v>7.1099999999999997E-2</v>
      </c>
      <c r="I71" s="17">
        <f>SUM(I66:I70)</f>
        <v>110.49</v>
      </c>
    </row>
    <row r="72" spans="1:10" ht="17.25" customHeight="1" thickBot="1" x14ac:dyDescent="0.3">
      <c r="A72" s="296"/>
      <c r="B72" s="297"/>
      <c r="C72" s="297"/>
      <c r="D72" s="297"/>
      <c r="E72" s="297"/>
      <c r="F72" s="297"/>
      <c r="G72" s="297"/>
      <c r="H72" s="297"/>
      <c r="I72" s="298"/>
    </row>
    <row r="73" spans="1:10" ht="16.5" thickBot="1" x14ac:dyDescent="0.3">
      <c r="A73" s="299" t="s">
        <v>85</v>
      </c>
      <c r="B73" s="300"/>
      <c r="C73" s="300"/>
      <c r="D73" s="300"/>
      <c r="E73" s="300"/>
      <c r="F73" s="300"/>
      <c r="G73" s="300"/>
      <c r="H73" s="300"/>
      <c r="I73" s="301"/>
    </row>
    <row r="74" spans="1:10" ht="36" customHeight="1" thickBot="1" x14ac:dyDescent="0.3">
      <c r="A74" s="308" t="s">
        <v>131</v>
      </c>
      <c r="B74" s="363"/>
      <c r="C74" s="363"/>
      <c r="D74" s="363"/>
      <c r="E74" s="363"/>
      <c r="F74" s="363"/>
      <c r="G74" s="363"/>
      <c r="H74" s="363"/>
      <c r="I74" s="364"/>
    </row>
    <row r="75" spans="1:10" ht="36" customHeight="1" thickBot="1" x14ac:dyDescent="0.3">
      <c r="A75" s="365" t="s">
        <v>145</v>
      </c>
      <c r="B75" s="366"/>
      <c r="C75" s="366"/>
      <c r="D75" s="366"/>
      <c r="E75" s="366"/>
      <c r="F75" s="366"/>
      <c r="G75" s="366"/>
      <c r="H75" s="366"/>
      <c r="I75" s="367"/>
    </row>
    <row r="76" spans="1:10" ht="45.75" customHeight="1" thickBot="1" x14ac:dyDescent="0.3">
      <c r="A76" s="67" t="s">
        <v>132</v>
      </c>
      <c r="B76" s="69">
        <f>I31</f>
        <v>1553.96</v>
      </c>
      <c r="C76" s="68" t="s">
        <v>146</v>
      </c>
      <c r="D76" s="69">
        <f>I62-(I51+I52)</f>
        <v>1115.56</v>
      </c>
      <c r="E76" s="67" t="s">
        <v>147</v>
      </c>
      <c r="F76" s="70">
        <f>I71</f>
        <v>110.49</v>
      </c>
      <c r="G76" s="368" t="s">
        <v>148</v>
      </c>
      <c r="H76" s="369"/>
      <c r="I76" s="71">
        <f>B76+D76+F76</f>
        <v>2780.0099999999998</v>
      </c>
    </row>
    <row r="77" spans="1:10" x14ac:dyDescent="0.25">
      <c r="A77" s="325" t="s">
        <v>18</v>
      </c>
      <c r="B77" s="326"/>
      <c r="C77" s="326"/>
      <c r="D77" s="326"/>
      <c r="E77" s="326"/>
      <c r="F77" s="326"/>
      <c r="G77" s="327"/>
      <c r="H77" s="62" t="s">
        <v>55</v>
      </c>
      <c r="I77" s="12" t="s">
        <v>56</v>
      </c>
    </row>
    <row r="78" spans="1:10" ht="100.5" customHeight="1" x14ac:dyDescent="0.25">
      <c r="A78" s="13" t="s">
        <v>2</v>
      </c>
      <c r="B78" s="282" t="s">
        <v>154</v>
      </c>
      <c r="C78" s="328"/>
      <c r="D78" s="328"/>
      <c r="E78" s="328"/>
      <c r="F78" s="328"/>
      <c r="G78" s="329"/>
      <c r="H78" s="72">
        <v>9.0749999999999997E-2</v>
      </c>
      <c r="I78" s="14">
        <f>ROUND((I76*H78),2)</f>
        <v>252.29</v>
      </c>
    </row>
    <row r="79" spans="1:10" x14ac:dyDescent="0.25">
      <c r="A79" s="13" t="s">
        <v>3</v>
      </c>
      <c r="B79" s="324" t="s">
        <v>149</v>
      </c>
      <c r="C79" s="277"/>
      <c r="D79" s="277"/>
      <c r="E79" s="277"/>
      <c r="F79" s="277"/>
      <c r="G79" s="278"/>
      <c r="H79" s="27">
        <v>2.8E-3</v>
      </c>
      <c r="I79" s="14">
        <f>ROUND((I76*H79),2)</f>
        <v>7.78</v>
      </c>
    </row>
    <row r="80" spans="1:10" ht="35.25" customHeight="1" x14ac:dyDescent="0.25">
      <c r="A80" s="13" t="s">
        <v>5</v>
      </c>
      <c r="B80" s="282" t="s">
        <v>150</v>
      </c>
      <c r="C80" s="283"/>
      <c r="D80" s="283"/>
      <c r="E80" s="283"/>
      <c r="F80" s="283"/>
      <c r="G80" s="284"/>
      <c r="H80" s="27">
        <v>2.0799999999999999E-4</v>
      </c>
      <c r="I80" s="14">
        <f>ROUND((I76*H80),2)</f>
        <v>0.57999999999999996</v>
      </c>
    </row>
    <row r="81" spans="1:9" ht="36" customHeight="1" x14ac:dyDescent="0.25">
      <c r="A81" s="13" t="s">
        <v>6</v>
      </c>
      <c r="B81" s="282" t="s">
        <v>151</v>
      </c>
      <c r="C81" s="283"/>
      <c r="D81" s="283"/>
      <c r="E81" s="283"/>
      <c r="F81" s="283"/>
      <c r="G81" s="284"/>
      <c r="H81" s="27">
        <v>2.7000000000000001E-3</v>
      </c>
      <c r="I81" s="14">
        <f>ROUND((I76*H81),2)</f>
        <v>7.51</v>
      </c>
    </row>
    <row r="82" spans="1:9" ht="137.25" customHeight="1" x14ac:dyDescent="0.25">
      <c r="A82" s="13" t="s">
        <v>7</v>
      </c>
      <c r="B82" s="282" t="s">
        <v>152</v>
      </c>
      <c r="C82" s="283"/>
      <c r="D82" s="283"/>
      <c r="E82" s="283"/>
      <c r="F82" s="283"/>
      <c r="G82" s="284"/>
      <c r="H82" s="27">
        <v>1.2999999999999999E-3</v>
      </c>
      <c r="I82" s="14">
        <f>ROUND((I76*H82),2)</f>
        <v>3.61</v>
      </c>
    </row>
    <row r="83" spans="1:9" ht="35.25" customHeight="1" x14ac:dyDescent="0.25">
      <c r="A83" s="13" t="s">
        <v>8</v>
      </c>
      <c r="B83" s="282" t="s">
        <v>153</v>
      </c>
      <c r="C83" s="283"/>
      <c r="D83" s="283"/>
      <c r="E83" s="283"/>
      <c r="F83" s="283"/>
      <c r="G83" s="284"/>
      <c r="H83" s="27">
        <v>8.3333000000000001E-3</v>
      </c>
      <c r="I83" s="14">
        <f>ROUND((I76*H83),2)</f>
        <v>23.17</v>
      </c>
    </row>
    <row r="84" spans="1:9" ht="15.75" customHeight="1" thickBot="1" x14ac:dyDescent="0.3">
      <c r="A84" s="287" t="s">
        <v>86</v>
      </c>
      <c r="B84" s="288"/>
      <c r="C84" s="288"/>
      <c r="D84" s="288"/>
      <c r="E84" s="288"/>
      <c r="F84" s="288"/>
      <c r="G84" s="289"/>
      <c r="H84" s="21">
        <f>TRUNC(SUM(H78:H83),4)</f>
        <v>0.106</v>
      </c>
      <c r="I84" s="17">
        <f>SUM(I78:I83)</f>
        <v>294.94</v>
      </c>
    </row>
    <row r="85" spans="1:9" ht="7.5" customHeight="1" thickBot="1" x14ac:dyDescent="0.3">
      <c r="A85" s="296"/>
      <c r="B85" s="297"/>
      <c r="C85" s="297"/>
      <c r="D85" s="297"/>
      <c r="E85" s="297"/>
      <c r="F85" s="297"/>
      <c r="G85" s="297"/>
      <c r="H85" s="297"/>
      <c r="I85" s="298"/>
    </row>
    <row r="86" spans="1:9" ht="15.75" customHeight="1" x14ac:dyDescent="0.25">
      <c r="A86" s="311" t="s">
        <v>21</v>
      </c>
      <c r="B86" s="291"/>
      <c r="C86" s="291"/>
      <c r="D86" s="291"/>
      <c r="E86" s="291"/>
      <c r="F86" s="291"/>
      <c r="G86" s="292"/>
      <c r="H86" s="64" t="s">
        <v>55</v>
      </c>
      <c r="I86" s="22" t="s">
        <v>56</v>
      </c>
    </row>
    <row r="87" spans="1:9" ht="15.75" customHeight="1" x14ac:dyDescent="0.25">
      <c r="A87" s="13" t="s">
        <v>2</v>
      </c>
      <c r="B87" s="324" t="s">
        <v>87</v>
      </c>
      <c r="C87" s="277"/>
      <c r="D87" s="277"/>
      <c r="E87" s="277"/>
      <c r="F87" s="277"/>
      <c r="G87" s="278"/>
      <c r="H87" s="27">
        <v>0</v>
      </c>
      <c r="I87" s="14">
        <v>0</v>
      </c>
    </row>
    <row r="88" spans="1:9" ht="16.5" thickBot="1" x14ac:dyDescent="0.3">
      <c r="A88" s="287" t="s">
        <v>88</v>
      </c>
      <c r="B88" s="288"/>
      <c r="C88" s="288"/>
      <c r="D88" s="288"/>
      <c r="E88" s="288"/>
      <c r="F88" s="288"/>
      <c r="G88" s="289"/>
      <c r="H88" s="21">
        <f>TRUNC(SUM(H87),4)</f>
        <v>0</v>
      </c>
      <c r="I88" s="17">
        <f>TRUNC(SUM(I87),2)</f>
        <v>0</v>
      </c>
    </row>
    <row r="89" spans="1:9" ht="7.5" customHeight="1" thickBot="1" x14ac:dyDescent="0.3">
      <c r="A89" s="296"/>
      <c r="B89" s="297"/>
      <c r="C89" s="297"/>
      <c r="D89" s="297"/>
      <c r="E89" s="297"/>
      <c r="F89" s="297"/>
      <c r="G89" s="297"/>
      <c r="H89" s="297"/>
      <c r="I89" s="298"/>
    </row>
    <row r="90" spans="1:9" ht="16.5" thickBot="1" x14ac:dyDescent="0.3">
      <c r="A90" s="299" t="s">
        <v>89</v>
      </c>
      <c r="B90" s="300"/>
      <c r="C90" s="300"/>
      <c r="D90" s="300"/>
      <c r="E90" s="300"/>
      <c r="F90" s="300"/>
      <c r="G90" s="300"/>
      <c r="H90" s="300"/>
      <c r="I90" s="301"/>
    </row>
    <row r="91" spans="1:9" x14ac:dyDescent="0.25">
      <c r="A91" s="311" t="s">
        <v>17</v>
      </c>
      <c r="B91" s="291"/>
      <c r="C91" s="291"/>
      <c r="D91" s="291"/>
      <c r="E91" s="291"/>
      <c r="F91" s="291"/>
      <c r="G91" s="292"/>
      <c r="H91" s="62" t="s">
        <v>55</v>
      </c>
      <c r="I91" s="12" t="s">
        <v>56</v>
      </c>
    </row>
    <row r="92" spans="1:9" x14ac:dyDescent="0.25">
      <c r="A92" s="13" t="s">
        <v>19</v>
      </c>
      <c r="B92" s="324" t="s">
        <v>20</v>
      </c>
      <c r="C92" s="277"/>
      <c r="D92" s="277"/>
      <c r="E92" s="277"/>
      <c r="F92" s="277"/>
      <c r="G92" s="278"/>
      <c r="H92" s="18"/>
      <c r="I92" s="14">
        <f>I84</f>
        <v>294.94</v>
      </c>
    </row>
    <row r="93" spans="1:9" x14ac:dyDescent="0.25">
      <c r="A93" s="13" t="s">
        <v>22</v>
      </c>
      <c r="B93" s="324" t="s">
        <v>23</v>
      </c>
      <c r="C93" s="277"/>
      <c r="D93" s="277"/>
      <c r="E93" s="277"/>
      <c r="F93" s="277"/>
      <c r="G93" s="278"/>
      <c r="H93" s="18"/>
      <c r="I93" s="14">
        <f>I88</f>
        <v>0</v>
      </c>
    </row>
    <row r="94" spans="1:9" ht="16.5" thickBot="1" x14ac:dyDescent="0.3">
      <c r="A94" s="287" t="s">
        <v>90</v>
      </c>
      <c r="B94" s="288"/>
      <c r="C94" s="288"/>
      <c r="D94" s="288"/>
      <c r="E94" s="288"/>
      <c r="F94" s="288"/>
      <c r="G94" s="289"/>
      <c r="H94" s="21"/>
      <c r="I94" s="17">
        <f>I92+I93</f>
        <v>294.94</v>
      </c>
    </row>
    <row r="95" spans="1:9" ht="7.5" customHeight="1" thickBot="1" x14ac:dyDescent="0.3">
      <c r="A95" s="296"/>
      <c r="B95" s="297"/>
      <c r="C95" s="297"/>
      <c r="D95" s="297"/>
      <c r="E95" s="297"/>
      <c r="F95" s="297"/>
      <c r="G95" s="297"/>
      <c r="H95" s="297"/>
      <c r="I95" s="298"/>
    </row>
    <row r="96" spans="1:9" ht="16.5" thickBot="1" x14ac:dyDescent="0.3">
      <c r="A96" s="299" t="s">
        <v>91</v>
      </c>
      <c r="B96" s="300"/>
      <c r="C96" s="300"/>
      <c r="D96" s="300"/>
      <c r="E96" s="300"/>
      <c r="F96" s="300"/>
      <c r="G96" s="300"/>
      <c r="H96" s="300"/>
      <c r="I96" s="301"/>
    </row>
    <row r="97" spans="1:9" x14ac:dyDescent="0.25">
      <c r="A97" s="63">
        <v>5</v>
      </c>
      <c r="B97" s="290" t="s">
        <v>92</v>
      </c>
      <c r="C97" s="291"/>
      <c r="D97" s="291"/>
      <c r="E97" s="291"/>
      <c r="F97" s="291"/>
      <c r="G97" s="292"/>
      <c r="H97" s="62"/>
      <c r="I97" s="12" t="s">
        <v>56</v>
      </c>
    </row>
    <row r="98" spans="1:9" x14ac:dyDescent="0.25">
      <c r="A98" s="13" t="s">
        <v>2</v>
      </c>
      <c r="B98" s="321" t="s">
        <v>93</v>
      </c>
      <c r="C98" s="322"/>
      <c r="D98" s="322"/>
      <c r="E98" s="322"/>
      <c r="F98" s="322"/>
      <c r="G98" s="323"/>
      <c r="H98" s="16" t="s">
        <v>74</v>
      </c>
      <c r="I98" s="148">
        <f>Uniformes!F24</f>
        <v>78.862500000000011</v>
      </c>
    </row>
    <row r="99" spans="1:9" x14ac:dyDescent="0.25">
      <c r="A99" s="13" t="s">
        <v>3</v>
      </c>
      <c r="B99" s="321" t="s">
        <v>175</v>
      </c>
      <c r="C99" s="322"/>
      <c r="D99" s="322"/>
      <c r="E99" s="322"/>
      <c r="F99" s="322"/>
      <c r="G99" s="323"/>
      <c r="H99" s="16" t="s">
        <v>74</v>
      </c>
      <c r="I99" s="121">
        <f>'Equipamentos LIMPEZA CAU'!G9</f>
        <v>77.585666666666668</v>
      </c>
    </row>
    <row r="100" spans="1:9" x14ac:dyDescent="0.25">
      <c r="A100" s="77" t="s">
        <v>5</v>
      </c>
      <c r="B100" s="274" t="s">
        <v>165</v>
      </c>
      <c r="C100" s="275"/>
      <c r="D100" s="275"/>
      <c r="E100" s="275"/>
      <c r="F100" s="275"/>
      <c r="G100" s="275"/>
      <c r="H100" s="75" t="s">
        <v>74</v>
      </c>
      <c r="I100" s="76">
        <v>0</v>
      </c>
    </row>
    <row r="101" spans="1:9" ht="16.5" thickBot="1" x14ac:dyDescent="0.3">
      <c r="A101" s="287" t="s">
        <v>94</v>
      </c>
      <c r="B101" s="288"/>
      <c r="C101" s="288"/>
      <c r="D101" s="288"/>
      <c r="E101" s="288"/>
      <c r="F101" s="288"/>
      <c r="G101" s="289"/>
      <c r="H101" s="21" t="s">
        <v>74</v>
      </c>
      <c r="I101" s="17">
        <f>ROUND(SUM(I98:I99),2)</f>
        <v>156.44999999999999</v>
      </c>
    </row>
    <row r="102" spans="1:9" ht="8.1" customHeight="1" thickBot="1" x14ac:dyDescent="0.3">
      <c r="A102" s="296"/>
      <c r="B102" s="297"/>
      <c r="C102" s="297"/>
      <c r="D102" s="297"/>
      <c r="E102" s="297"/>
      <c r="F102" s="297"/>
      <c r="G102" s="297"/>
      <c r="H102" s="297"/>
      <c r="I102" s="298"/>
    </row>
    <row r="103" spans="1:9" ht="16.5" thickBot="1" x14ac:dyDescent="0.3">
      <c r="A103" s="299" t="s">
        <v>95</v>
      </c>
      <c r="B103" s="300"/>
      <c r="C103" s="300"/>
      <c r="D103" s="300"/>
      <c r="E103" s="300"/>
      <c r="F103" s="300"/>
      <c r="G103" s="300"/>
      <c r="H103" s="300"/>
      <c r="I103" s="301"/>
    </row>
    <row r="104" spans="1:9" x14ac:dyDescent="0.25">
      <c r="A104" s="63">
        <v>6</v>
      </c>
      <c r="B104" s="290" t="s">
        <v>96</v>
      </c>
      <c r="C104" s="291"/>
      <c r="D104" s="291"/>
      <c r="E104" s="291"/>
      <c r="F104" s="291"/>
      <c r="G104" s="292"/>
      <c r="H104" s="62" t="s">
        <v>55</v>
      </c>
      <c r="I104" s="12" t="s">
        <v>56</v>
      </c>
    </row>
    <row r="105" spans="1:9" ht="34.5" customHeight="1" x14ac:dyDescent="0.25">
      <c r="A105" s="293" t="s">
        <v>133</v>
      </c>
      <c r="B105" s="370"/>
      <c r="C105" s="370"/>
      <c r="D105" s="370"/>
      <c r="E105" s="370"/>
      <c r="F105" s="370"/>
      <c r="G105" s="370"/>
      <c r="H105" s="370"/>
      <c r="I105" s="371"/>
    </row>
    <row r="106" spans="1:9" x14ac:dyDescent="0.25">
      <c r="A106" s="13" t="s">
        <v>2</v>
      </c>
      <c r="B106" s="276" t="s">
        <v>0</v>
      </c>
      <c r="C106" s="277"/>
      <c r="D106" s="277"/>
      <c r="E106" s="277"/>
      <c r="F106" s="277"/>
      <c r="G106" s="278"/>
      <c r="H106" s="150">
        <v>0.05</v>
      </c>
      <c r="I106" s="14">
        <f>(H106*I132)</f>
        <v>198.30700000000002</v>
      </c>
    </row>
    <row r="107" spans="1:9" ht="31.5" customHeight="1" x14ac:dyDescent="0.25">
      <c r="A107" s="293" t="s">
        <v>134</v>
      </c>
      <c r="B107" s="294"/>
      <c r="C107" s="294"/>
      <c r="D107" s="294"/>
      <c r="E107" s="294"/>
      <c r="F107" s="294"/>
      <c r="G107" s="294"/>
      <c r="H107" s="294"/>
      <c r="I107" s="295"/>
    </row>
    <row r="108" spans="1:9" ht="15.75" customHeight="1" x14ac:dyDescent="0.25">
      <c r="A108" s="13" t="s">
        <v>3</v>
      </c>
      <c r="B108" s="276" t="s">
        <v>1</v>
      </c>
      <c r="C108" s="277"/>
      <c r="D108" s="277"/>
      <c r="E108" s="277"/>
      <c r="F108" s="277"/>
      <c r="G108" s="278"/>
      <c r="H108" s="150">
        <v>5.8299999999999998E-2</v>
      </c>
      <c r="I108" s="14">
        <f>(H108*(I106+I132))</f>
        <v>242.7872601</v>
      </c>
    </row>
    <row r="109" spans="1:9" ht="33.75" customHeight="1" x14ac:dyDescent="0.25">
      <c r="A109" s="293" t="s">
        <v>135</v>
      </c>
      <c r="B109" s="294"/>
      <c r="C109" s="294"/>
      <c r="D109" s="294"/>
      <c r="E109" s="294"/>
      <c r="F109" s="294"/>
      <c r="G109" s="294"/>
      <c r="H109" s="294"/>
      <c r="I109" s="295"/>
    </row>
    <row r="110" spans="1:9" x14ac:dyDescent="0.25">
      <c r="A110" s="13" t="s">
        <v>5</v>
      </c>
      <c r="B110" s="279" t="s">
        <v>97</v>
      </c>
      <c r="C110" s="280"/>
      <c r="D110" s="280"/>
      <c r="E110" s="280"/>
      <c r="F110" s="280"/>
      <c r="G110" s="281"/>
      <c r="H110" s="15"/>
      <c r="I110" s="28"/>
    </row>
    <row r="111" spans="1:9" ht="51.75" customHeight="1" x14ac:dyDescent="0.25">
      <c r="A111" s="13" t="s">
        <v>98</v>
      </c>
      <c r="B111" s="282" t="s">
        <v>172</v>
      </c>
      <c r="C111" s="283"/>
      <c r="D111" s="283"/>
      <c r="E111" s="283"/>
      <c r="F111" s="283"/>
      <c r="G111" s="284"/>
      <c r="H111" s="29">
        <v>6.4999999999999997E-3</v>
      </c>
      <c r="I111" s="14">
        <f>(H111*I121)</f>
        <v>31.359600437876296</v>
      </c>
    </row>
    <row r="112" spans="1:9" ht="54" customHeight="1" x14ac:dyDescent="0.25">
      <c r="A112" s="13" t="s">
        <v>99</v>
      </c>
      <c r="B112" s="282" t="s">
        <v>173</v>
      </c>
      <c r="C112" s="285"/>
      <c r="D112" s="285"/>
      <c r="E112" s="285"/>
      <c r="F112" s="285"/>
      <c r="G112" s="286"/>
      <c r="H112" s="29">
        <v>0.03</v>
      </c>
      <c r="I112" s="14">
        <f>(H112*I121)</f>
        <v>144.7366174055829</v>
      </c>
    </row>
    <row r="113" spans="1:9" ht="32.25" customHeight="1" x14ac:dyDescent="0.25">
      <c r="A113" s="13" t="s">
        <v>100</v>
      </c>
      <c r="B113" s="282" t="s">
        <v>174</v>
      </c>
      <c r="C113" s="283"/>
      <c r="D113" s="283"/>
      <c r="E113" s="283"/>
      <c r="F113" s="283"/>
      <c r="G113" s="284"/>
      <c r="H113" s="15">
        <v>0.05</v>
      </c>
      <c r="I113" s="14">
        <f>(H113*I121)</f>
        <v>241.22769567597152</v>
      </c>
    </row>
    <row r="114" spans="1:9" ht="16.5" thickBot="1" x14ac:dyDescent="0.3">
      <c r="A114" s="287" t="s">
        <v>101</v>
      </c>
      <c r="B114" s="288"/>
      <c r="C114" s="288"/>
      <c r="D114" s="288"/>
      <c r="E114" s="288"/>
      <c r="F114" s="288"/>
      <c r="G114" s="289"/>
      <c r="H114" s="30">
        <f>SUM(H106:H113)</f>
        <v>0.19480000000000003</v>
      </c>
      <c r="I114" s="17">
        <f>ROUND(SUM(I106:I113),2)</f>
        <v>858.42</v>
      </c>
    </row>
    <row r="115" spans="1:9" ht="8.1" customHeight="1" thickBot="1" x14ac:dyDescent="0.3">
      <c r="A115" s="312"/>
      <c r="B115" s="313"/>
      <c r="C115" s="313"/>
      <c r="D115" s="313"/>
      <c r="E115" s="313"/>
      <c r="F115" s="313"/>
      <c r="G115" s="313"/>
      <c r="H115" s="313"/>
      <c r="I115" s="314"/>
    </row>
    <row r="116" spans="1:9" ht="14.25" customHeight="1" x14ac:dyDescent="0.25">
      <c r="A116" s="31" t="s">
        <v>102</v>
      </c>
      <c r="B116" s="315" t="s">
        <v>103</v>
      </c>
      <c r="C116" s="315"/>
      <c r="D116" s="315"/>
      <c r="E116" s="315"/>
      <c r="F116" s="315"/>
      <c r="G116" s="315"/>
      <c r="H116" s="32">
        <f>(H111+H112+H113)</f>
        <v>8.6499999999999994E-2</v>
      </c>
      <c r="I116" s="33"/>
    </row>
    <row r="117" spans="1:9" ht="12.75" customHeight="1" x14ac:dyDescent="0.25">
      <c r="A117" s="60"/>
      <c r="B117" s="316">
        <v>100</v>
      </c>
      <c r="C117" s="316"/>
      <c r="D117" s="316"/>
      <c r="E117" s="316"/>
      <c r="F117" s="316"/>
      <c r="G117" s="316"/>
      <c r="H117" s="19"/>
      <c r="I117" s="34"/>
    </row>
    <row r="118" spans="1:9" ht="7.5" customHeight="1" x14ac:dyDescent="0.25">
      <c r="A118" s="35"/>
      <c r="B118" s="99"/>
      <c r="C118" s="99"/>
      <c r="D118" s="99"/>
      <c r="E118" s="99"/>
      <c r="F118" s="99"/>
      <c r="G118" s="99"/>
      <c r="H118" s="19"/>
      <c r="I118" s="34"/>
    </row>
    <row r="119" spans="1:9" ht="15" customHeight="1" x14ac:dyDescent="0.25">
      <c r="A119" s="60" t="s">
        <v>104</v>
      </c>
      <c r="B119" s="316" t="s">
        <v>105</v>
      </c>
      <c r="C119" s="316"/>
      <c r="D119" s="316"/>
      <c r="E119" s="316"/>
      <c r="F119" s="316"/>
      <c r="G119" s="316"/>
      <c r="H119" s="19"/>
      <c r="I119" s="36">
        <f>ROUND(I132+I106+I108,2)</f>
        <v>4407.2299999999996</v>
      </c>
    </row>
    <row r="120" spans="1:9" ht="6.75" customHeight="1" x14ac:dyDescent="0.25">
      <c r="A120" s="60"/>
      <c r="B120" s="99"/>
      <c r="C120" s="99"/>
      <c r="D120" s="99"/>
      <c r="E120" s="99"/>
      <c r="F120" s="99"/>
      <c r="G120" s="99"/>
      <c r="H120" s="19"/>
      <c r="I120" s="34"/>
    </row>
    <row r="121" spans="1:9" ht="14.25" customHeight="1" x14ac:dyDescent="0.25">
      <c r="A121" s="60" t="s">
        <v>106</v>
      </c>
      <c r="B121" s="316" t="s">
        <v>107</v>
      </c>
      <c r="C121" s="316"/>
      <c r="D121" s="316"/>
      <c r="E121" s="316"/>
      <c r="F121" s="316"/>
      <c r="G121" s="316"/>
      <c r="H121" s="19"/>
      <c r="I121" s="37">
        <f>(I119/(1-H116))</f>
        <v>4824.5539135194304</v>
      </c>
    </row>
    <row r="122" spans="1:9" ht="6.75" customHeight="1" x14ac:dyDescent="0.25">
      <c r="A122" s="60"/>
      <c r="B122" s="99"/>
      <c r="C122" s="99"/>
      <c r="D122" s="99"/>
      <c r="E122" s="99"/>
      <c r="F122" s="99"/>
      <c r="G122" s="99"/>
      <c r="H122" s="19"/>
      <c r="I122" s="34"/>
    </row>
    <row r="123" spans="1:9" ht="13.5" customHeight="1" thickBot="1" x14ac:dyDescent="0.3">
      <c r="A123" s="38"/>
      <c r="B123" s="317" t="s">
        <v>108</v>
      </c>
      <c r="C123" s="317"/>
      <c r="D123" s="317"/>
      <c r="E123" s="317"/>
      <c r="F123" s="317"/>
      <c r="G123" s="317"/>
      <c r="H123" s="39"/>
      <c r="I123" s="40">
        <f>(I121-I119)</f>
        <v>417.32391351943079</v>
      </c>
    </row>
    <row r="124" spans="1:9" ht="28.5" customHeight="1" thickBot="1" x14ac:dyDescent="0.3">
      <c r="A124" s="308" t="s">
        <v>136</v>
      </c>
      <c r="B124" s="309"/>
      <c r="C124" s="309"/>
      <c r="D124" s="309"/>
      <c r="E124" s="309"/>
      <c r="F124" s="309"/>
      <c r="G124" s="309"/>
      <c r="H124" s="309"/>
      <c r="I124" s="310"/>
    </row>
    <row r="125" spans="1:9" ht="16.5" thickBot="1" x14ac:dyDescent="0.3">
      <c r="A125" s="299" t="s">
        <v>109</v>
      </c>
      <c r="B125" s="300"/>
      <c r="C125" s="300"/>
      <c r="D125" s="300"/>
      <c r="E125" s="300"/>
      <c r="F125" s="300"/>
      <c r="G125" s="300"/>
      <c r="H125" s="300"/>
      <c r="I125" s="301"/>
    </row>
    <row r="126" spans="1:9" x14ac:dyDescent="0.25">
      <c r="A126" s="311" t="s">
        <v>110</v>
      </c>
      <c r="B126" s="291"/>
      <c r="C126" s="291"/>
      <c r="D126" s="291"/>
      <c r="E126" s="291"/>
      <c r="F126" s="291"/>
      <c r="G126" s="291"/>
      <c r="H126" s="292"/>
      <c r="I126" s="12" t="s">
        <v>56</v>
      </c>
    </row>
    <row r="127" spans="1:9" x14ac:dyDescent="0.25">
      <c r="A127" s="5" t="s">
        <v>2</v>
      </c>
      <c r="B127" s="302" t="str">
        <f>A23</f>
        <v>MÓDULO 1 - COMPOSIÇÃO DA REMUNERAÇÃO</v>
      </c>
      <c r="C127" s="303"/>
      <c r="D127" s="303"/>
      <c r="E127" s="303"/>
      <c r="F127" s="303"/>
      <c r="G127" s="303"/>
      <c r="H127" s="304"/>
      <c r="I127" s="14">
        <f>I31</f>
        <v>1553.96</v>
      </c>
    </row>
    <row r="128" spans="1:9" x14ac:dyDescent="0.25">
      <c r="A128" s="5" t="s">
        <v>3</v>
      </c>
      <c r="B128" s="302" t="str">
        <f>A33</f>
        <v>MÓDULO 2 – ENCARGOS E BENEFÍCIOS ANUAIS, MENSAIS E DIÁRIOS</v>
      </c>
      <c r="C128" s="303"/>
      <c r="D128" s="303"/>
      <c r="E128" s="303"/>
      <c r="F128" s="303"/>
      <c r="G128" s="303"/>
      <c r="H128" s="304"/>
      <c r="I128" s="14">
        <f>I62</f>
        <v>1850.3</v>
      </c>
    </row>
    <row r="129" spans="1:12" x14ac:dyDescent="0.25">
      <c r="A129" s="5" t="s">
        <v>5</v>
      </c>
      <c r="B129" s="302" t="str">
        <f>A64</f>
        <v>MÓDULO 3 – PROVISÃO PARA RESCISÃO</v>
      </c>
      <c r="C129" s="303"/>
      <c r="D129" s="303"/>
      <c r="E129" s="303"/>
      <c r="F129" s="303"/>
      <c r="G129" s="303"/>
      <c r="H129" s="304"/>
      <c r="I129" s="14">
        <f>I71</f>
        <v>110.49</v>
      </c>
    </row>
    <row r="130" spans="1:12" ht="15.75" customHeight="1" x14ac:dyDescent="0.25">
      <c r="A130" s="41" t="s">
        <v>6</v>
      </c>
      <c r="B130" s="302" t="str">
        <f>A73</f>
        <v>MÓDULO 4 – CUSTO DE REPOSIÇÃO DO PROFISSIONAL AUSENTE</v>
      </c>
      <c r="C130" s="303"/>
      <c r="D130" s="303"/>
      <c r="E130" s="303"/>
      <c r="F130" s="303"/>
      <c r="G130" s="303"/>
      <c r="H130" s="304"/>
      <c r="I130" s="14">
        <f>I94</f>
        <v>294.94</v>
      </c>
    </row>
    <row r="131" spans="1:12" ht="15.75" customHeight="1" x14ac:dyDescent="0.25">
      <c r="A131" s="41" t="s">
        <v>7</v>
      </c>
      <c r="B131" s="302" t="str">
        <f>A96</f>
        <v>MÓDULO 5 – INSUMOS DIVERSOS</v>
      </c>
      <c r="C131" s="303"/>
      <c r="D131" s="303"/>
      <c r="E131" s="303"/>
      <c r="F131" s="303"/>
      <c r="G131" s="303"/>
      <c r="H131" s="304"/>
      <c r="I131" s="14">
        <f>I101</f>
        <v>156.44999999999999</v>
      </c>
    </row>
    <row r="132" spans="1:12" x14ac:dyDescent="0.25">
      <c r="A132" s="13"/>
      <c r="B132" s="318" t="s">
        <v>111</v>
      </c>
      <c r="C132" s="319"/>
      <c r="D132" s="319"/>
      <c r="E132" s="319"/>
      <c r="F132" s="319"/>
      <c r="G132" s="319"/>
      <c r="H132" s="320"/>
      <c r="I132" s="42">
        <f>ROUND(SUM(I127:I131),2)</f>
        <v>3966.14</v>
      </c>
    </row>
    <row r="133" spans="1:12" ht="15.75" customHeight="1" x14ac:dyDescent="0.25">
      <c r="A133" s="41" t="s">
        <v>8</v>
      </c>
      <c r="B133" s="302" t="str">
        <f>A103</f>
        <v>MÓDULO 6 – CUSTOS INDIRETOS, TRIBUTOS E LUCRO</v>
      </c>
      <c r="C133" s="303"/>
      <c r="D133" s="303"/>
      <c r="E133" s="303"/>
      <c r="F133" s="303"/>
      <c r="G133" s="303"/>
      <c r="H133" s="304"/>
      <c r="I133" s="14">
        <f>I114</f>
        <v>858.42</v>
      </c>
    </row>
    <row r="134" spans="1:12" ht="16.5" thickBot="1" x14ac:dyDescent="0.3">
      <c r="A134" s="305" t="s">
        <v>112</v>
      </c>
      <c r="B134" s="306"/>
      <c r="C134" s="306"/>
      <c r="D134" s="306"/>
      <c r="E134" s="306"/>
      <c r="F134" s="306"/>
      <c r="G134" s="306"/>
      <c r="H134" s="307"/>
      <c r="I134" s="43">
        <f>ROUND(SUM(I132:I133),2)</f>
        <v>4824.5600000000004</v>
      </c>
      <c r="K134" s="46"/>
      <c r="L134" s="23"/>
    </row>
    <row r="135" spans="1:12" ht="12.75" customHeight="1" x14ac:dyDescent="0.25">
      <c r="A135" s="405"/>
      <c r="B135" s="405"/>
      <c r="C135" s="405"/>
      <c r="D135" s="405"/>
      <c r="E135" s="405"/>
      <c r="F135" s="405"/>
      <c r="G135" s="405"/>
      <c r="H135" s="405"/>
      <c r="I135" s="405"/>
    </row>
  </sheetData>
  <mergeCells count="134">
    <mergeCell ref="B7:H7"/>
    <mergeCell ref="A8:I8"/>
    <mergeCell ref="A9:I9"/>
    <mergeCell ref="A10:F10"/>
    <mergeCell ref="G10:H10"/>
    <mergeCell ref="A11:F11"/>
    <mergeCell ref="G11:H11"/>
    <mergeCell ref="A1:I1"/>
    <mergeCell ref="A2:I2"/>
    <mergeCell ref="A3:I3"/>
    <mergeCell ref="B4:H4"/>
    <mergeCell ref="B5:H5"/>
    <mergeCell ref="B6:H6"/>
    <mergeCell ref="B18:H18"/>
    <mergeCell ref="B19:H19"/>
    <mergeCell ref="B20:H20"/>
    <mergeCell ref="B21:H21"/>
    <mergeCell ref="A22:I22"/>
    <mergeCell ref="A23:I23"/>
    <mergeCell ref="A12:I12"/>
    <mergeCell ref="A13:I13"/>
    <mergeCell ref="A14:I14"/>
    <mergeCell ref="A15:I15"/>
    <mergeCell ref="A16:I16"/>
    <mergeCell ref="B17:H17"/>
    <mergeCell ref="B30:G30"/>
    <mergeCell ref="A31:H31"/>
    <mergeCell ref="A32:I32"/>
    <mergeCell ref="A33:I33"/>
    <mergeCell ref="A34:G34"/>
    <mergeCell ref="B35:G35"/>
    <mergeCell ref="B24:G24"/>
    <mergeCell ref="B25:G25"/>
    <mergeCell ref="B26:G26"/>
    <mergeCell ref="B27:G27"/>
    <mergeCell ref="B28:G28"/>
    <mergeCell ref="B29:G29"/>
    <mergeCell ref="B42:G42"/>
    <mergeCell ref="B43:G43"/>
    <mergeCell ref="B44:G44"/>
    <mergeCell ref="B45:G45"/>
    <mergeCell ref="B46:G46"/>
    <mergeCell ref="B47:G47"/>
    <mergeCell ref="B36:G36"/>
    <mergeCell ref="A37:G37"/>
    <mergeCell ref="A38:I38"/>
    <mergeCell ref="A39:G39"/>
    <mergeCell ref="B40:G40"/>
    <mergeCell ref="B41:G41"/>
    <mergeCell ref="A55:H55"/>
    <mergeCell ref="A56:I56"/>
    <mergeCell ref="A57:I57"/>
    <mergeCell ref="A58:H58"/>
    <mergeCell ref="B59:H59"/>
    <mergeCell ref="B60:H60"/>
    <mergeCell ref="A48:G48"/>
    <mergeCell ref="A49:I49"/>
    <mergeCell ref="A50:G50"/>
    <mergeCell ref="B51:G51"/>
    <mergeCell ref="B52:G52"/>
    <mergeCell ref="B54:G54"/>
    <mergeCell ref="B53:G53"/>
    <mergeCell ref="B67:G67"/>
    <mergeCell ref="B68:G68"/>
    <mergeCell ref="B69:G69"/>
    <mergeCell ref="B70:G70"/>
    <mergeCell ref="A71:G71"/>
    <mergeCell ref="A72:I72"/>
    <mergeCell ref="B61:H61"/>
    <mergeCell ref="A62:H62"/>
    <mergeCell ref="A63:I63"/>
    <mergeCell ref="A64:I64"/>
    <mergeCell ref="B65:G65"/>
    <mergeCell ref="B66:G66"/>
    <mergeCell ref="B79:G79"/>
    <mergeCell ref="B80:G80"/>
    <mergeCell ref="B81:G81"/>
    <mergeCell ref="B82:G82"/>
    <mergeCell ref="B83:G83"/>
    <mergeCell ref="A84:G84"/>
    <mergeCell ref="A73:I73"/>
    <mergeCell ref="A74:I74"/>
    <mergeCell ref="A75:I75"/>
    <mergeCell ref="G76:H76"/>
    <mergeCell ref="A77:G77"/>
    <mergeCell ref="B78:G78"/>
    <mergeCell ref="A91:G91"/>
    <mergeCell ref="B92:G92"/>
    <mergeCell ref="B93:G93"/>
    <mergeCell ref="A94:G94"/>
    <mergeCell ref="A95:I95"/>
    <mergeCell ref="A96:I96"/>
    <mergeCell ref="A85:I85"/>
    <mergeCell ref="A86:G86"/>
    <mergeCell ref="B87:G87"/>
    <mergeCell ref="A88:G88"/>
    <mergeCell ref="A89:I89"/>
    <mergeCell ref="A90:I90"/>
    <mergeCell ref="A103:I103"/>
    <mergeCell ref="B104:G104"/>
    <mergeCell ref="A105:I105"/>
    <mergeCell ref="B106:G106"/>
    <mergeCell ref="A107:I107"/>
    <mergeCell ref="B108:G108"/>
    <mergeCell ref="B97:G97"/>
    <mergeCell ref="B98:G98"/>
    <mergeCell ref="B99:G99"/>
    <mergeCell ref="B100:G100"/>
    <mergeCell ref="A101:G101"/>
    <mergeCell ref="A102:I102"/>
    <mergeCell ref="A115:I115"/>
    <mergeCell ref="B116:G116"/>
    <mergeCell ref="B117:G117"/>
    <mergeCell ref="B119:G119"/>
    <mergeCell ref="B121:G121"/>
    <mergeCell ref="B123:G123"/>
    <mergeCell ref="A109:I109"/>
    <mergeCell ref="B110:G110"/>
    <mergeCell ref="B111:G111"/>
    <mergeCell ref="B112:G112"/>
    <mergeCell ref="B113:G113"/>
    <mergeCell ref="A114:G114"/>
    <mergeCell ref="B130:H130"/>
    <mergeCell ref="B131:H131"/>
    <mergeCell ref="B132:H132"/>
    <mergeCell ref="B133:H133"/>
    <mergeCell ref="A134:H134"/>
    <mergeCell ref="A135:I135"/>
    <mergeCell ref="A124:I124"/>
    <mergeCell ref="A125:I125"/>
    <mergeCell ref="A126:H126"/>
    <mergeCell ref="B127:H127"/>
    <mergeCell ref="B128:H128"/>
    <mergeCell ref="B129:H12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portrait" r:id="rId1"/>
  <rowBreaks count="1" manualBreakCount="1">
    <brk id="6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F697-0970-4BD3-AB81-54D1063E1B88}">
  <sheetPr>
    <tabColor rgb="FF00B0F0"/>
  </sheetPr>
  <dimension ref="A1:G29"/>
  <sheetViews>
    <sheetView workbookViewId="0">
      <selection activeCell="A11" sqref="A11:G13"/>
    </sheetView>
  </sheetViews>
  <sheetFormatPr defaultColWidth="9.140625" defaultRowHeight="12.75" x14ac:dyDescent="0.2"/>
  <cols>
    <col min="1" max="1" width="7.85546875" style="84" customWidth="1"/>
    <col min="2" max="2" width="29" style="84" customWidth="1"/>
    <col min="3" max="3" width="11.7109375" style="84" bestFit="1" customWidth="1"/>
    <col min="4" max="4" width="9.42578125" style="84" bestFit="1" customWidth="1"/>
    <col min="5" max="5" width="11" style="84" bestFit="1" customWidth="1"/>
    <col min="6" max="6" width="9.7109375" style="84" customWidth="1"/>
    <col min="7" max="7" width="13.140625" style="84" customWidth="1"/>
    <col min="8" max="16384" width="9.140625" style="84"/>
  </cols>
  <sheetData>
    <row r="1" spans="1:7" x14ac:dyDescent="0.2">
      <c r="A1" s="83"/>
      <c r="B1" s="83"/>
      <c r="C1" s="83"/>
      <c r="D1" s="83"/>
      <c r="E1" s="83"/>
      <c r="F1" s="83"/>
      <c r="G1" s="83"/>
    </row>
    <row r="2" spans="1:7" ht="21" customHeight="1" x14ac:dyDescent="0.2">
      <c r="A2" s="387" t="s">
        <v>159</v>
      </c>
      <c r="B2" s="388"/>
      <c r="C2" s="389"/>
      <c r="D2" s="389"/>
      <c r="E2" s="389"/>
      <c r="F2" s="389"/>
      <c r="G2" s="390"/>
    </row>
    <row r="3" spans="1:7" ht="38.25" x14ac:dyDescent="0.2">
      <c r="A3" s="85" t="s">
        <v>160</v>
      </c>
      <c r="B3" s="85" t="s">
        <v>161</v>
      </c>
      <c r="C3" s="86" t="s">
        <v>169</v>
      </c>
      <c r="D3" s="86" t="s">
        <v>162</v>
      </c>
      <c r="E3" s="86" t="s">
        <v>167</v>
      </c>
      <c r="F3" s="86" t="s">
        <v>166</v>
      </c>
      <c r="G3" s="86" t="s">
        <v>163</v>
      </c>
    </row>
    <row r="4" spans="1:7" ht="45" x14ac:dyDescent="0.2">
      <c r="A4" s="87">
        <v>1</v>
      </c>
      <c r="B4" s="92" t="s">
        <v>234</v>
      </c>
      <c r="C4" s="92" t="s">
        <v>169</v>
      </c>
      <c r="D4" s="87">
        <v>1</v>
      </c>
      <c r="E4" s="74">
        <v>1952.19</v>
      </c>
      <c r="F4" s="88">
        <v>60</v>
      </c>
      <c r="G4" s="74">
        <f>E4/F4</f>
        <v>32.536500000000004</v>
      </c>
    </row>
    <row r="5" spans="1:7" ht="60" x14ac:dyDescent="0.2">
      <c r="A5" s="87">
        <v>2</v>
      </c>
      <c r="B5" s="131" t="s">
        <v>235</v>
      </c>
      <c r="C5" s="131" t="s">
        <v>169</v>
      </c>
      <c r="D5" s="87">
        <v>1</v>
      </c>
      <c r="E5" s="74">
        <v>62.76</v>
      </c>
      <c r="F5" s="88">
        <v>12</v>
      </c>
      <c r="G5" s="74">
        <f t="shared" ref="G5:G8" si="0">E5/F5</f>
        <v>5.2299999999999995</v>
      </c>
    </row>
    <row r="6" spans="1:7" ht="60" x14ac:dyDescent="0.2">
      <c r="A6" s="87">
        <v>3</v>
      </c>
      <c r="B6" s="131" t="s">
        <v>236</v>
      </c>
      <c r="C6" s="131" t="s">
        <v>169</v>
      </c>
      <c r="D6" s="87">
        <v>1</v>
      </c>
      <c r="E6" s="74">
        <v>102.97</v>
      </c>
      <c r="F6" s="88">
        <v>12</v>
      </c>
      <c r="G6" s="74">
        <f t="shared" si="0"/>
        <v>8.5808333333333326</v>
      </c>
    </row>
    <row r="7" spans="1:7" ht="90" x14ac:dyDescent="0.2">
      <c r="A7" s="87">
        <v>4</v>
      </c>
      <c r="B7" s="131" t="s">
        <v>237</v>
      </c>
      <c r="C7" s="131" t="s">
        <v>169</v>
      </c>
      <c r="D7" s="87">
        <v>1</v>
      </c>
      <c r="E7" s="74">
        <v>35.26</v>
      </c>
      <c r="F7" s="88">
        <v>12</v>
      </c>
      <c r="G7" s="74">
        <f t="shared" si="0"/>
        <v>2.938333333333333</v>
      </c>
    </row>
    <row r="8" spans="1:7" ht="60" x14ac:dyDescent="0.2">
      <c r="A8" s="87">
        <v>5</v>
      </c>
      <c r="B8" s="131" t="s">
        <v>238</v>
      </c>
      <c r="C8" s="131" t="s">
        <v>169</v>
      </c>
      <c r="D8" s="87">
        <v>1</v>
      </c>
      <c r="E8" s="74">
        <v>339.6</v>
      </c>
      <c r="F8" s="88">
        <v>12</v>
      </c>
      <c r="G8" s="74">
        <f t="shared" si="0"/>
        <v>28.3</v>
      </c>
    </row>
    <row r="9" spans="1:7" x14ac:dyDescent="0.2">
      <c r="A9" s="387" t="s">
        <v>233</v>
      </c>
      <c r="B9" s="388"/>
      <c r="C9" s="388"/>
      <c r="D9" s="388"/>
      <c r="E9" s="388"/>
      <c r="F9" s="390"/>
      <c r="G9" s="89">
        <f>SUM(G4:G8)</f>
        <v>77.585666666666668</v>
      </c>
    </row>
    <row r="10" spans="1:7" ht="27.75" customHeight="1" x14ac:dyDescent="0.2">
      <c r="A10" s="407" t="s">
        <v>164</v>
      </c>
      <c r="B10" s="407"/>
      <c r="C10" s="407"/>
      <c r="D10" s="407"/>
      <c r="E10" s="407"/>
      <c r="F10" s="407"/>
      <c r="G10" s="407"/>
    </row>
    <row r="11" spans="1:7" ht="28.5" customHeight="1" x14ac:dyDescent="0.2">
      <c r="A11" s="407" t="s">
        <v>189</v>
      </c>
      <c r="B11" s="407"/>
      <c r="C11" s="407"/>
      <c r="D11" s="407"/>
      <c r="E11" s="407"/>
      <c r="F11" s="407"/>
      <c r="G11" s="407"/>
    </row>
    <row r="12" spans="1:7" ht="15.75" customHeight="1" x14ac:dyDescent="0.2">
      <c r="A12" s="407"/>
      <c r="B12" s="407"/>
      <c r="C12" s="407"/>
      <c r="D12" s="407"/>
      <c r="E12" s="407"/>
      <c r="F12" s="407"/>
      <c r="G12" s="407"/>
    </row>
    <row r="13" spans="1:7" x14ac:dyDescent="0.2">
      <c r="A13" s="407"/>
      <c r="B13" s="407"/>
      <c r="C13" s="407"/>
      <c r="D13" s="407"/>
      <c r="E13" s="407"/>
      <c r="F13" s="407"/>
      <c r="G13" s="407"/>
    </row>
    <row r="14" spans="1:7" x14ac:dyDescent="0.2">
      <c r="A14" s="406" t="s">
        <v>190</v>
      </c>
      <c r="B14" s="406"/>
      <c r="C14" s="406"/>
      <c r="D14" s="406"/>
      <c r="E14" s="406"/>
      <c r="F14" s="406"/>
      <c r="G14" s="406"/>
    </row>
    <row r="15" spans="1:7" ht="52.5" customHeight="1" x14ac:dyDescent="0.2"/>
    <row r="19" ht="38.25" customHeight="1" x14ac:dyDescent="0.2"/>
    <row r="20" ht="21" customHeight="1" x14ac:dyDescent="0.2"/>
    <row r="21" ht="39.75" customHeight="1" x14ac:dyDescent="0.2"/>
    <row r="22" ht="50.25" customHeight="1" x14ac:dyDescent="0.2"/>
    <row r="23" ht="48" customHeight="1" x14ac:dyDescent="0.2"/>
    <row r="24" ht="16.5" customHeight="1" x14ac:dyDescent="0.2"/>
    <row r="25" ht="18.75" customHeight="1" x14ac:dyDescent="0.2"/>
    <row r="26" ht="60" customHeight="1" x14ac:dyDescent="0.2"/>
    <row r="27" ht="15" customHeight="1" x14ac:dyDescent="0.2"/>
    <row r="29" ht="30.75" customHeight="1" x14ac:dyDescent="0.2"/>
  </sheetData>
  <mergeCells count="5">
    <mergeCell ref="A14:G14"/>
    <mergeCell ref="A2:G2"/>
    <mergeCell ref="A9:F9"/>
    <mergeCell ref="A11:G13"/>
    <mergeCell ref="A10:G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CE57-46F4-4A9D-9004-C8171D22214D}">
  <sheetPr>
    <tabColor rgb="FF00B0F0"/>
  </sheetPr>
  <dimension ref="A2:F30"/>
  <sheetViews>
    <sheetView workbookViewId="0">
      <selection activeCell="B22" sqref="B22"/>
    </sheetView>
  </sheetViews>
  <sheetFormatPr defaultRowHeight="15" x14ac:dyDescent="0.25"/>
  <cols>
    <col min="1" max="1" width="8.7109375" customWidth="1"/>
    <col min="2" max="2" width="37.140625" customWidth="1"/>
    <col min="3" max="3" width="9.5703125" bestFit="1" customWidth="1"/>
    <col min="4" max="4" width="14.42578125" customWidth="1"/>
    <col min="5" max="5" width="13.28515625" customWidth="1"/>
    <col min="6" max="6" width="15.7109375" customWidth="1"/>
  </cols>
  <sheetData>
    <row r="2" spans="1:6" ht="60" x14ac:dyDescent="0.25">
      <c r="A2" s="108" t="s">
        <v>29</v>
      </c>
      <c r="B2" s="108" t="s">
        <v>239</v>
      </c>
      <c r="C2" s="108" t="s">
        <v>240</v>
      </c>
      <c r="D2" s="107" t="s">
        <v>241</v>
      </c>
      <c r="E2" s="108" t="s">
        <v>273</v>
      </c>
      <c r="F2" s="108" t="s">
        <v>242</v>
      </c>
    </row>
    <row r="3" spans="1:6" ht="29.25" x14ac:dyDescent="0.25">
      <c r="A3" s="117">
        <v>1</v>
      </c>
      <c r="B3" s="132" t="s">
        <v>243</v>
      </c>
      <c r="C3" s="117" t="s">
        <v>38</v>
      </c>
      <c r="D3" s="117">
        <v>60</v>
      </c>
      <c r="E3" s="133">
        <v>2.96</v>
      </c>
      <c r="F3" s="133">
        <f>D3*E3</f>
        <v>177.6</v>
      </c>
    </row>
    <row r="4" spans="1:6" ht="29.25" x14ac:dyDescent="0.25">
      <c r="A4" s="111">
        <v>2</v>
      </c>
      <c r="B4" s="134" t="s">
        <v>244</v>
      </c>
      <c r="C4" s="111" t="s">
        <v>245</v>
      </c>
      <c r="D4" s="111">
        <v>60</v>
      </c>
      <c r="E4" s="135">
        <v>5.78</v>
      </c>
      <c r="F4" s="135">
        <f t="shared" ref="F4:F28" si="0">D4*E4</f>
        <v>346.8</v>
      </c>
    </row>
    <row r="5" spans="1:6" x14ac:dyDescent="0.25">
      <c r="A5" s="117">
        <v>3</v>
      </c>
      <c r="B5" s="136" t="s">
        <v>246</v>
      </c>
      <c r="C5" s="117" t="s">
        <v>38</v>
      </c>
      <c r="D5" s="117">
        <v>5</v>
      </c>
      <c r="E5" s="133">
        <v>16.34</v>
      </c>
      <c r="F5" s="133">
        <f t="shared" si="0"/>
        <v>81.7</v>
      </c>
    </row>
    <row r="6" spans="1:6" x14ac:dyDescent="0.25">
      <c r="A6" s="111">
        <v>4</v>
      </c>
      <c r="B6" s="137" t="s">
        <v>247</v>
      </c>
      <c r="C6" s="111" t="s">
        <v>183</v>
      </c>
      <c r="D6" s="111">
        <v>12</v>
      </c>
      <c r="E6" s="135">
        <v>7.92</v>
      </c>
      <c r="F6" s="135">
        <f t="shared" si="0"/>
        <v>95.039999999999992</v>
      </c>
    </row>
    <row r="7" spans="1:6" ht="29.25" x14ac:dyDescent="0.25">
      <c r="A7" s="117">
        <v>5</v>
      </c>
      <c r="B7" s="132" t="s">
        <v>248</v>
      </c>
      <c r="C7" s="117" t="s">
        <v>38</v>
      </c>
      <c r="D7" s="117">
        <v>36</v>
      </c>
      <c r="E7" s="133">
        <v>13.44</v>
      </c>
      <c r="F7" s="133">
        <f t="shared" si="0"/>
        <v>483.84</v>
      </c>
    </row>
    <row r="8" spans="1:6" ht="29.25" x14ac:dyDescent="0.25">
      <c r="A8" s="111">
        <v>6</v>
      </c>
      <c r="B8" s="134" t="s">
        <v>249</v>
      </c>
      <c r="C8" s="111" t="s">
        <v>38</v>
      </c>
      <c r="D8" s="111">
        <v>48</v>
      </c>
      <c r="E8" s="135">
        <v>1.89</v>
      </c>
      <c r="F8" s="135">
        <f t="shared" si="0"/>
        <v>90.72</v>
      </c>
    </row>
    <row r="9" spans="1:6" x14ac:dyDescent="0.25">
      <c r="A9" s="117">
        <v>7</v>
      </c>
      <c r="B9" s="138" t="s">
        <v>250</v>
      </c>
      <c r="C9" s="117" t="s">
        <v>38</v>
      </c>
      <c r="D9" s="117">
        <v>8</v>
      </c>
      <c r="E9" s="133">
        <v>27.14</v>
      </c>
      <c r="F9" s="133">
        <f t="shared" si="0"/>
        <v>217.12</v>
      </c>
    </row>
    <row r="10" spans="1:6" x14ac:dyDescent="0.25">
      <c r="A10" s="111">
        <v>8</v>
      </c>
      <c r="B10" s="137" t="s">
        <v>251</v>
      </c>
      <c r="C10" s="111" t="s">
        <v>38</v>
      </c>
      <c r="D10" s="111">
        <v>2</v>
      </c>
      <c r="E10" s="135">
        <v>28.56</v>
      </c>
      <c r="F10" s="135">
        <f t="shared" si="0"/>
        <v>57.12</v>
      </c>
    </row>
    <row r="11" spans="1:6" x14ac:dyDescent="0.25">
      <c r="A11" s="115">
        <v>9</v>
      </c>
      <c r="B11" s="139" t="s">
        <v>252</v>
      </c>
      <c r="C11" s="115" t="s">
        <v>38</v>
      </c>
      <c r="D11" s="115">
        <v>2</v>
      </c>
      <c r="E11" s="140">
        <v>15.47</v>
      </c>
      <c r="F11" s="140">
        <f t="shared" si="0"/>
        <v>30.94</v>
      </c>
    </row>
    <row r="12" spans="1:6" x14ac:dyDescent="0.25">
      <c r="A12" s="111">
        <v>10</v>
      </c>
      <c r="B12" s="137" t="s">
        <v>253</v>
      </c>
      <c r="C12" s="111" t="s">
        <v>38</v>
      </c>
      <c r="D12" s="111">
        <v>36</v>
      </c>
      <c r="E12" s="135">
        <v>1.22</v>
      </c>
      <c r="F12" s="135">
        <f t="shared" si="0"/>
        <v>43.92</v>
      </c>
    </row>
    <row r="13" spans="1:6" x14ac:dyDescent="0.25">
      <c r="A13" s="115">
        <v>11</v>
      </c>
      <c r="B13" s="139" t="s">
        <v>254</v>
      </c>
      <c r="C13" s="115" t="s">
        <v>255</v>
      </c>
      <c r="D13" s="115">
        <v>12</v>
      </c>
      <c r="E13" s="140">
        <v>15.36</v>
      </c>
      <c r="F13" s="140">
        <f t="shared" si="0"/>
        <v>184.32</v>
      </c>
    </row>
    <row r="14" spans="1:6" ht="29.25" x14ac:dyDescent="0.25">
      <c r="A14" s="111">
        <v>12</v>
      </c>
      <c r="B14" s="134" t="s">
        <v>256</v>
      </c>
      <c r="C14" s="111" t="s">
        <v>38</v>
      </c>
      <c r="D14" s="111">
        <v>24</v>
      </c>
      <c r="E14" s="135">
        <v>2.48</v>
      </c>
      <c r="F14" s="135">
        <f t="shared" si="0"/>
        <v>59.519999999999996</v>
      </c>
    </row>
    <row r="15" spans="1:6" x14ac:dyDescent="0.25">
      <c r="A15" s="115">
        <v>13</v>
      </c>
      <c r="B15" s="141" t="s">
        <v>257</v>
      </c>
      <c r="C15" s="115" t="s">
        <v>225</v>
      </c>
      <c r="D15" s="115">
        <v>12</v>
      </c>
      <c r="E15" s="140">
        <v>2.5499999999999998</v>
      </c>
      <c r="F15" s="140">
        <f t="shared" si="0"/>
        <v>30.599999999999998</v>
      </c>
    </row>
    <row r="16" spans="1:6" x14ac:dyDescent="0.25">
      <c r="A16" s="111">
        <v>14</v>
      </c>
      <c r="B16" s="142" t="s">
        <v>258</v>
      </c>
      <c r="C16" s="111" t="s">
        <v>38</v>
      </c>
      <c r="D16" s="111">
        <v>36</v>
      </c>
      <c r="E16" s="135">
        <v>2.62</v>
      </c>
      <c r="F16" s="135">
        <f t="shared" si="0"/>
        <v>94.320000000000007</v>
      </c>
    </row>
    <row r="17" spans="1:6" ht="29.25" x14ac:dyDescent="0.25">
      <c r="A17" s="117">
        <v>15</v>
      </c>
      <c r="B17" s="132" t="s">
        <v>259</v>
      </c>
      <c r="C17" s="117" t="s">
        <v>38</v>
      </c>
      <c r="D17" s="117">
        <v>12</v>
      </c>
      <c r="E17" s="133">
        <v>35.159999999999997</v>
      </c>
      <c r="F17" s="133">
        <f t="shared" si="0"/>
        <v>421.91999999999996</v>
      </c>
    </row>
    <row r="18" spans="1:6" x14ac:dyDescent="0.25">
      <c r="A18" s="111">
        <v>16</v>
      </c>
      <c r="B18" s="142" t="s">
        <v>260</v>
      </c>
      <c r="C18" s="111" t="s">
        <v>38</v>
      </c>
      <c r="D18" s="111">
        <v>24</v>
      </c>
      <c r="E18" s="135">
        <v>5.93</v>
      </c>
      <c r="F18" s="135">
        <f t="shared" si="0"/>
        <v>142.32</v>
      </c>
    </row>
    <row r="19" spans="1:6" x14ac:dyDescent="0.25">
      <c r="A19" s="117">
        <v>17</v>
      </c>
      <c r="B19" s="143" t="s">
        <v>261</v>
      </c>
      <c r="C19" s="117" t="s">
        <v>181</v>
      </c>
      <c r="D19" s="117">
        <v>24</v>
      </c>
      <c r="E19" s="133">
        <v>2.98</v>
      </c>
      <c r="F19" s="133">
        <f t="shared" si="0"/>
        <v>71.52</v>
      </c>
    </row>
    <row r="20" spans="1:6" x14ac:dyDescent="0.25">
      <c r="A20" s="111">
        <v>18</v>
      </c>
      <c r="B20" s="142" t="s">
        <v>262</v>
      </c>
      <c r="C20" s="111" t="s">
        <v>38</v>
      </c>
      <c r="D20" s="111">
        <v>5</v>
      </c>
      <c r="E20" s="135">
        <v>8.44</v>
      </c>
      <c r="F20" s="135">
        <f t="shared" si="0"/>
        <v>42.199999999999996</v>
      </c>
    </row>
    <row r="21" spans="1:6" ht="28.5" x14ac:dyDescent="0.25">
      <c r="A21" s="115">
        <v>19</v>
      </c>
      <c r="B21" s="114" t="s">
        <v>263</v>
      </c>
      <c r="C21" s="115" t="s">
        <v>255</v>
      </c>
      <c r="D21" s="115">
        <v>8</v>
      </c>
      <c r="E21" s="140">
        <v>1.61</v>
      </c>
      <c r="F21" s="140">
        <f t="shared" si="0"/>
        <v>12.88</v>
      </c>
    </row>
    <row r="22" spans="1:6" ht="42.75" x14ac:dyDescent="0.25">
      <c r="A22" s="111">
        <v>20</v>
      </c>
      <c r="B22" s="144" t="s">
        <v>264</v>
      </c>
      <c r="C22" s="111" t="s">
        <v>38</v>
      </c>
      <c r="D22" s="111">
        <v>14</v>
      </c>
      <c r="E22" s="135">
        <v>3.77</v>
      </c>
      <c r="F22" s="135">
        <f t="shared" si="0"/>
        <v>52.78</v>
      </c>
    </row>
    <row r="23" spans="1:6" ht="29.25" x14ac:dyDescent="0.25">
      <c r="A23" s="117">
        <v>21</v>
      </c>
      <c r="B23" s="132" t="s">
        <v>265</v>
      </c>
      <c r="C23" s="117" t="s">
        <v>255</v>
      </c>
      <c r="D23" s="117">
        <v>24</v>
      </c>
      <c r="E23" s="133">
        <v>9.6999999999999993</v>
      </c>
      <c r="F23" s="133">
        <f t="shared" si="0"/>
        <v>232.79999999999998</v>
      </c>
    </row>
    <row r="24" spans="1:6" x14ac:dyDescent="0.25">
      <c r="A24" s="111">
        <v>22</v>
      </c>
      <c r="B24" s="142" t="s">
        <v>266</v>
      </c>
      <c r="C24" s="111" t="s">
        <v>38</v>
      </c>
      <c r="D24" s="111">
        <v>12</v>
      </c>
      <c r="E24" s="135">
        <v>9.24</v>
      </c>
      <c r="F24" s="135">
        <f t="shared" si="0"/>
        <v>110.88</v>
      </c>
    </row>
    <row r="25" spans="1:6" x14ac:dyDescent="0.25">
      <c r="A25" s="115">
        <v>23</v>
      </c>
      <c r="B25" s="141" t="s">
        <v>267</v>
      </c>
      <c r="C25" s="115" t="s">
        <v>38</v>
      </c>
      <c r="D25" s="115">
        <v>24</v>
      </c>
      <c r="E25" s="140">
        <v>4.59</v>
      </c>
      <c r="F25" s="140">
        <f t="shared" si="0"/>
        <v>110.16</v>
      </c>
    </row>
    <row r="26" spans="1:6" x14ac:dyDescent="0.25">
      <c r="A26" s="111">
        <v>24</v>
      </c>
      <c r="B26" s="142" t="s">
        <v>268</v>
      </c>
      <c r="C26" s="111" t="s">
        <v>183</v>
      </c>
      <c r="D26" s="111">
        <v>3</v>
      </c>
      <c r="E26" s="135">
        <v>13.17</v>
      </c>
      <c r="F26" s="135">
        <f t="shared" si="0"/>
        <v>39.51</v>
      </c>
    </row>
    <row r="27" spans="1:6" ht="29.25" x14ac:dyDescent="0.25">
      <c r="A27" s="117">
        <v>25</v>
      </c>
      <c r="B27" s="132" t="s">
        <v>269</v>
      </c>
      <c r="C27" s="117" t="s">
        <v>255</v>
      </c>
      <c r="D27" s="117">
        <v>12</v>
      </c>
      <c r="E27" s="133">
        <v>7.77</v>
      </c>
      <c r="F27" s="133">
        <f t="shared" si="0"/>
        <v>93.24</v>
      </c>
    </row>
    <row r="28" spans="1:6" ht="29.25" x14ac:dyDescent="0.25">
      <c r="A28" s="145">
        <v>26</v>
      </c>
      <c r="B28" s="161" t="s">
        <v>270</v>
      </c>
      <c r="C28" s="145" t="s">
        <v>38</v>
      </c>
      <c r="D28" s="145">
        <v>12</v>
      </c>
      <c r="E28" s="146">
        <v>14.6</v>
      </c>
      <c r="F28" s="146">
        <f t="shared" si="0"/>
        <v>175.2</v>
      </c>
    </row>
    <row r="29" spans="1:6" x14ac:dyDescent="0.25">
      <c r="A29" s="408" t="s">
        <v>271</v>
      </c>
      <c r="B29" s="408"/>
      <c r="C29" s="408"/>
      <c r="D29" s="408"/>
      <c r="E29" s="408"/>
      <c r="F29" s="147">
        <f>SUM(F3:F28)</f>
        <v>3498.9700000000003</v>
      </c>
    </row>
    <row r="30" spans="1:6" x14ac:dyDescent="0.25">
      <c r="A30" s="408" t="s">
        <v>272</v>
      </c>
      <c r="B30" s="408"/>
      <c r="C30" s="408"/>
      <c r="D30" s="408"/>
      <c r="E30" s="408"/>
      <c r="F30" s="147">
        <f>F29/12</f>
        <v>291.58083333333337</v>
      </c>
    </row>
  </sheetData>
  <mergeCells count="2">
    <mergeCell ref="A30:E30"/>
    <mergeCell ref="A29:E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3C76-0969-4D89-9EFE-E9B9DA81EFB5}">
  <sheetPr>
    <tabColor rgb="FF00B050"/>
    <pageSetUpPr fitToPage="1"/>
  </sheetPr>
  <dimension ref="A1:L135"/>
  <sheetViews>
    <sheetView view="pageBreakPreview" topLeftCell="A19" zoomScale="115" zoomScaleNormal="100" zoomScaleSheetLayoutView="115" workbookViewId="0">
      <selection activeCell="I20" sqref="I20"/>
    </sheetView>
  </sheetViews>
  <sheetFormatPr defaultRowHeight="15.75" x14ac:dyDescent="0.25"/>
  <cols>
    <col min="1" max="1" width="10.140625" style="2" bestFit="1" customWidth="1"/>
    <col min="2" max="2" width="12.5703125" style="2" bestFit="1" customWidth="1"/>
    <col min="3" max="3" width="10.85546875" style="2" customWidth="1"/>
    <col min="4" max="4" width="14.42578125" style="2" customWidth="1"/>
    <col min="5" max="5" width="12.85546875" style="2" bestFit="1" customWidth="1"/>
    <col min="6" max="6" width="11" style="2" bestFit="1" customWidth="1"/>
    <col min="7" max="7" width="19.85546875" style="2" customWidth="1"/>
    <col min="8" max="8" width="14.7109375" style="2" customWidth="1"/>
    <col min="9" max="9" width="34" style="2" bestFit="1" customWidth="1"/>
    <col min="10" max="10" width="4" style="2" customWidth="1"/>
    <col min="11" max="11" width="14.140625" style="2" customWidth="1"/>
    <col min="12" max="12" width="11.42578125" style="2" customWidth="1"/>
    <col min="13" max="15" width="9.28515625" style="2" bestFit="1" customWidth="1"/>
    <col min="16" max="256" width="9.140625" style="2"/>
    <col min="257" max="257" width="10.140625" style="2" bestFit="1" customWidth="1"/>
    <col min="258" max="259" width="9.140625" style="2"/>
    <col min="260" max="260" width="20.85546875" style="2" customWidth="1"/>
    <col min="261" max="261" width="12.85546875" style="2" bestFit="1" customWidth="1"/>
    <col min="262" max="262" width="9.140625" style="2"/>
    <col min="263" max="263" width="19.85546875" style="2" customWidth="1"/>
    <col min="264" max="264" width="14.7109375" style="2" customWidth="1"/>
    <col min="265" max="265" width="34" style="2" bestFit="1" customWidth="1"/>
    <col min="266" max="266" width="4" style="2" customWidth="1"/>
    <col min="267" max="267" width="14.140625" style="2" customWidth="1"/>
    <col min="268" max="268" width="11.42578125" style="2" customWidth="1"/>
    <col min="269" max="271" width="9.28515625" style="2" bestFit="1" customWidth="1"/>
    <col min="272" max="512" width="9.140625" style="2"/>
    <col min="513" max="513" width="10.140625" style="2" bestFit="1" customWidth="1"/>
    <col min="514" max="515" width="9.140625" style="2"/>
    <col min="516" max="516" width="20.85546875" style="2" customWidth="1"/>
    <col min="517" max="517" width="12.85546875" style="2" bestFit="1" customWidth="1"/>
    <col min="518" max="518" width="9.140625" style="2"/>
    <col min="519" max="519" width="19.85546875" style="2" customWidth="1"/>
    <col min="520" max="520" width="14.7109375" style="2" customWidth="1"/>
    <col min="521" max="521" width="34" style="2" bestFit="1" customWidth="1"/>
    <col min="522" max="522" width="4" style="2" customWidth="1"/>
    <col min="523" max="523" width="14.140625" style="2" customWidth="1"/>
    <col min="524" max="524" width="11.42578125" style="2" customWidth="1"/>
    <col min="525" max="527" width="9.28515625" style="2" bestFit="1" customWidth="1"/>
    <col min="528" max="768" width="9.140625" style="2"/>
    <col min="769" max="769" width="10.140625" style="2" bestFit="1" customWidth="1"/>
    <col min="770" max="771" width="9.140625" style="2"/>
    <col min="772" max="772" width="20.85546875" style="2" customWidth="1"/>
    <col min="773" max="773" width="12.85546875" style="2" bestFit="1" customWidth="1"/>
    <col min="774" max="774" width="9.140625" style="2"/>
    <col min="775" max="775" width="19.85546875" style="2" customWidth="1"/>
    <col min="776" max="776" width="14.7109375" style="2" customWidth="1"/>
    <col min="777" max="777" width="34" style="2" bestFit="1" customWidth="1"/>
    <col min="778" max="778" width="4" style="2" customWidth="1"/>
    <col min="779" max="779" width="14.140625" style="2" customWidth="1"/>
    <col min="780" max="780" width="11.42578125" style="2" customWidth="1"/>
    <col min="781" max="783" width="9.28515625" style="2" bestFit="1" customWidth="1"/>
    <col min="784" max="1024" width="9.140625" style="2"/>
    <col min="1025" max="1025" width="10.140625" style="2" bestFit="1" customWidth="1"/>
    <col min="1026" max="1027" width="9.140625" style="2"/>
    <col min="1028" max="1028" width="20.85546875" style="2" customWidth="1"/>
    <col min="1029" max="1029" width="12.85546875" style="2" bestFit="1" customWidth="1"/>
    <col min="1030" max="1030" width="9.140625" style="2"/>
    <col min="1031" max="1031" width="19.85546875" style="2" customWidth="1"/>
    <col min="1032" max="1032" width="14.7109375" style="2" customWidth="1"/>
    <col min="1033" max="1033" width="34" style="2" bestFit="1" customWidth="1"/>
    <col min="1034" max="1034" width="4" style="2" customWidth="1"/>
    <col min="1035" max="1035" width="14.140625" style="2" customWidth="1"/>
    <col min="1036" max="1036" width="11.42578125" style="2" customWidth="1"/>
    <col min="1037" max="1039" width="9.28515625" style="2" bestFit="1" customWidth="1"/>
    <col min="1040" max="1280" width="9.140625" style="2"/>
    <col min="1281" max="1281" width="10.140625" style="2" bestFit="1" customWidth="1"/>
    <col min="1282" max="1283" width="9.140625" style="2"/>
    <col min="1284" max="1284" width="20.85546875" style="2" customWidth="1"/>
    <col min="1285" max="1285" width="12.85546875" style="2" bestFit="1" customWidth="1"/>
    <col min="1286" max="1286" width="9.140625" style="2"/>
    <col min="1287" max="1287" width="19.85546875" style="2" customWidth="1"/>
    <col min="1288" max="1288" width="14.7109375" style="2" customWidth="1"/>
    <col min="1289" max="1289" width="34" style="2" bestFit="1" customWidth="1"/>
    <col min="1290" max="1290" width="4" style="2" customWidth="1"/>
    <col min="1291" max="1291" width="14.140625" style="2" customWidth="1"/>
    <col min="1292" max="1292" width="11.42578125" style="2" customWidth="1"/>
    <col min="1293" max="1295" width="9.28515625" style="2" bestFit="1" customWidth="1"/>
    <col min="1296" max="1536" width="9.140625" style="2"/>
    <col min="1537" max="1537" width="10.140625" style="2" bestFit="1" customWidth="1"/>
    <col min="1538" max="1539" width="9.140625" style="2"/>
    <col min="1540" max="1540" width="20.85546875" style="2" customWidth="1"/>
    <col min="1541" max="1541" width="12.85546875" style="2" bestFit="1" customWidth="1"/>
    <col min="1542" max="1542" width="9.140625" style="2"/>
    <col min="1543" max="1543" width="19.85546875" style="2" customWidth="1"/>
    <col min="1544" max="1544" width="14.7109375" style="2" customWidth="1"/>
    <col min="1545" max="1545" width="34" style="2" bestFit="1" customWidth="1"/>
    <col min="1546" max="1546" width="4" style="2" customWidth="1"/>
    <col min="1547" max="1547" width="14.140625" style="2" customWidth="1"/>
    <col min="1548" max="1548" width="11.42578125" style="2" customWidth="1"/>
    <col min="1549" max="1551" width="9.28515625" style="2" bestFit="1" customWidth="1"/>
    <col min="1552" max="1792" width="9.140625" style="2"/>
    <col min="1793" max="1793" width="10.140625" style="2" bestFit="1" customWidth="1"/>
    <col min="1794" max="1795" width="9.140625" style="2"/>
    <col min="1796" max="1796" width="20.85546875" style="2" customWidth="1"/>
    <col min="1797" max="1797" width="12.85546875" style="2" bestFit="1" customWidth="1"/>
    <col min="1798" max="1798" width="9.140625" style="2"/>
    <col min="1799" max="1799" width="19.85546875" style="2" customWidth="1"/>
    <col min="1800" max="1800" width="14.7109375" style="2" customWidth="1"/>
    <col min="1801" max="1801" width="34" style="2" bestFit="1" customWidth="1"/>
    <col min="1802" max="1802" width="4" style="2" customWidth="1"/>
    <col min="1803" max="1803" width="14.140625" style="2" customWidth="1"/>
    <col min="1804" max="1804" width="11.42578125" style="2" customWidth="1"/>
    <col min="1805" max="1807" width="9.28515625" style="2" bestFit="1" customWidth="1"/>
    <col min="1808" max="2048" width="9.140625" style="2"/>
    <col min="2049" max="2049" width="10.140625" style="2" bestFit="1" customWidth="1"/>
    <col min="2050" max="2051" width="9.140625" style="2"/>
    <col min="2052" max="2052" width="20.85546875" style="2" customWidth="1"/>
    <col min="2053" max="2053" width="12.85546875" style="2" bestFit="1" customWidth="1"/>
    <col min="2054" max="2054" width="9.140625" style="2"/>
    <col min="2055" max="2055" width="19.85546875" style="2" customWidth="1"/>
    <col min="2056" max="2056" width="14.7109375" style="2" customWidth="1"/>
    <col min="2057" max="2057" width="34" style="2" bestFit="1" customWidth="1"/>
    <col min="2058" max="2058" width="4" style="2" customWidth="1"/>
    <col min="2059" max="2059" width="14.140625" style="2" customWidth="1"/>
    <col min="2060" max="2060" width="11.42578125" style="2" customWidth="1"/>
    <col min="2061" max="2063" width="9.28515625" style="2" bestFit="1" customWidth="1"/>
    <col min="2064" max="2304" width="9.140625" style="2"/>
    <col min="2305" max="2305" width="10.140625" style="2" bestFit="1" customWidth="1"/>
    <col min="2306" max="2307" width="9.140625" style="2"/>
    <col min="2308" max="2308" width="20.85546875" style="2" customWidth="1"/>
    <col min="2309" max="2309" width="12.85546875" style="2" bestFit="1" customWidth="1"/>
    <col min="2310" max="2310" width="9.140625" style="2"/>
    <col min="2311" max="2311" width="19.85546875" style="2" customWidth="1"/>
    <col min="2312" max="2312" width="14.7109375" style="2" customWidth="1"/>
    <col min="2313" max="2313" width="34" style="2" bestFit="1" customWidth="1"/>
    <col min="2314" max="2314" width="4" style="2" customWidth="1"/>
    <col min="2315" max="2315" width="14.140625" style="2" customWidth="1"/>
    <col min="2316" max="2316" width="11.42578125" style="2" customWidth="1"/>
    <col min="2317" max="2319" width="9.28515625" style="2" bestFit="1" customWidth="1"/>
    <col min="2320" max="2560" width="9.140625" style="2"/>
    <col min="2561" max="2561" width="10.140625" style="2" bestFit="1" customWidth="1"/>
    <col min="2562" max="2563" width="9.140625" style="2"/>
    <col min="2564" max="2564" width="20.85546875" style="2" customWidth="1"/>
    <col min="2565" max="2565" width="12.85546875" style="2" bestFit="1" customWidth="1"/>
    <col min="2566" max="2566" width="9.140625" style="2"/>
    <col min="2567" max="2567" width="19.85546875" style="2" customWidth="1"/>
    <col min="2568" max="2568" width="14.7109375" style="2" customWidth="1"/>
    <col min="2569" max="2569" width="34" style="2" bestFit="1" customWidth="1"/>
    <col min="2570" max="2570" width="4" style="2" customWidth="1"/>
    <col min="2571" max="2571" width="14.140625" style="2" customWidth="1"/>
    <col min="2572" max="2572" width="11.42578125" style="2" customWidth="1"/>
    <col min="2573" max="2575" width="9.28515625" style="2" bestFit="1" customWidth="1"/>
    <col min="2576" max="2816" width="9.140625" style="2"/>
    <col min="2817" max="2817" width="10.140625" style="2" bestFit="1" customWidth="1"/>
    <col min="2818" max="2819" width="9.140625" style="2"/>
    <col min="2820" max="2820" width="20.85546875" style="2" customWidth="1"/>
    <col min="2821" max="2821" width="12.85546875" style="2" bestFit="1" customWidth="1"/>
    <col min="2822" max="2822" width="9.140625" style="2"/>
    <col min="2823" max="2823" width="19.85546875" style="2" customWidth="1"/>
    <col min="2824" max="2824" width="14.7109375" style="2" customWidth="1"/>
    <col min="2825" max="2825" width="34" style="2" bestFit="1" customWidth="1"/>
    <col min="2826" max="2826" width="4" style="2" customWidth="1"/>
    <col min="2827" max="2827" width="14.140625" style="2" customWidth="1"/>
    <col min="2828" max="2828" width="11.42578125" style="2" customWidth="1"/>
    <col min="2829" max="2831" width="9.28515625" style="2" bestFit="1" customWidth="1"/>
    <col min="2832" max="3072" width="9.140625" style="2"/>
    <col min="3073" max="3073" width="10.140625" style="2" bestFit="1" customWidth="1"/>
    <col min="3074" max="3075" width="9.140625" style="2"/>
    <col min="3076" max="3076" width="20.85546875" style="2" customWidth="1"/>
    <col min="3077" max="3077" width="12.85546875" style="2" bestFit="1" customWidth="1"/>
    <col min="3078" max="3078" width="9.140625" style="2"/>
    <col min="3079" max="3079" width="19.85546875" style="2" customWidth="1"/>
    <col min="3080" max="3080" width="14.7109375" style="2" customWidth="1"/>
    <col min="3081" max="3081" width="34" style="2" bestFit="1" customWidth="1"/>
    <col min="3082" max="3082" width="4" style="2" customWidth="1"/>
    <col min="3083" max="3083" width="14.140625" style="2" customWidth="1"/>
    <col min="3084" max="3084" width="11.42578125" style="2" customWidth="1"/>
    <col min="3085" max="3087" width="9.28515625" style="2" bestFit="1" customWidth="1"/>
    <col min="3088" max="3328" width="9.140625" style="2"/>
    <col min="3329" max="3329" width="10.140625" style="2" bestFit="1" customWidth="1"/>
    <col min="3330" max="3331" width="9.140625" style="2"/>
    <col min="3332" max="3332" width="20.85546875" style="2" customWidth="1"/>
    <col min="3333" max="3333" width="12.85546875" style="2" bestFit="1" customWidth="1"/>
    <col min="3334" max="3334" width="9.140625" style="2"/>
    <col min="3335" max="3335" width="19.85546875" style="2" customWidth="1"/>
    <col min="3336" max="3336" width="14.7109375" style="2" customWidth="1"/>
    <col min="3337" max="3337" width="34" style="2" bestFit="1" customWidth="1"/>
    <col min="3338" max="3338" width="4" style="2" customWidth="1"/>
    <col min="3339" max="3339" width="14.140625" style="2" customWidth="1"/>
    <col min="3340" max="3340" width="11.42578125" style="2" customWidth="1"/>
    <col min="3341" max="3343" width="9.28515625" style="2" bestFit="1" customWidth="1"/>
    <col min="3344" max="3584" width="9.140625" style="2"/>
    <col min="3585" max="3585" width="10.140625" style="2" bestFit="1" customWidth="1"/>
    <col min="3586" max="3587" width="9.140625" style="2"/>
    <col min="3588" max="3588" width="20.85546875" style="2" customWidth="1"/>
    <col min="3589" max="3589" width="12.85546875" style="2" bestFit="1" customWidth="1"/>
    <col min="3590" max="3590" width="9.140625" style="2"/>
    <col min="3591" max="3591" width="19.85546875" style="2" customWidth="1"/>
    <col min="3592" max="3592" width="14.7109375" style="2" customWidth="1"/>
    <col min="3593" max="3593" width="34" style="2" bestFit="1" customWidth="1"/>
    <col min="3594" max="3594" width="4" style="2" customWidth="1"/>
    <col min="3595" max="3595" width="14.140625" style="2" customWidth="1"/>
    <col min="3596" max="3596" width="11.42578125" style="2" customWidth="1"/>
    <col min="3597" max="3599" width="9.28515625" style="2" bestFit="1" customWidth="1"/>
    <col min="3600" max="3840" width="9.140625" style="2"/>
    <col min="3841" max="3841" width="10.140625" style="2" bestFit="1" customWidth="1"/>
    <col min="3842" max="3843" width="9.140625" style="2"/>
    <col min="3844" max="3844" width="20.85546875" style="2" customWidth="1"/>
    <col min="3845" max="3845" width="12.85546875" style="2" bestFit="1" customWidth="1"/>
    <col min="3846" max="3846" width="9.140625" style="2"/>
    <col min="3847" max="3847" width="19.85546875" style="2" customWidth="1"/>
    <col min="3848" max="3848" width="14.7109375" style="2" customWidth="1"/>
    <col min="3849" max="3849" width="34" style="2" bestFit="1" customWidth="1"/>
    <col min="3850" max="3850" width="4" style="2" customWidth="1"/>
    <col min="3851" max="3851" width="14.140625" style="2" customWidth="1"/>
    <col min="3852" max="3852" width="11.42578125" style="2" customWidth="1"/>
    <col min="3853" max="3855" width="9.28515625" style="2" bestFit="1" customWidth="1"/>
    <col min="3856" max="4096" width="9.140625" style="2"/>
    <col min="4097" max="4097" width="10.140625" style="2" bestFit="1" customWidth="1"/>
    <col min="4098" max="4099" width="9.140625" style="2"/>
    <col min="4100" max="4100" width="20.85546875" style="2" customWidth="1"/>
    <col min="4101" max="4101" width="12.85546875" style="2" bestFit="1" customWidth="1"/>
    <col min="4102" max="4102" width="9.140625" style="2"/>
    <col min="4103" max="4103" width="19.85546875" style="2" customWidth="1"/>
    <col min="4104" max="4104" width="14.7109375" style="2" customWidth="1"/>
    <col min="4105" max="4105" width="34" style="2" bestFit="1" customWidth="1"/>
    <col min="4106" max="4106" width="4" style="2" customWidth="1"/>
    <col min="4107" max="4107" width="14.140625" style="2" customWidth="1"/>
    <col min="4108" max="4108" width="11.42578125" style="2" customWidth="1"/>
    <col min="4109" max="4111" width="9.28515625" style="2" bestFit="1" customWidth="1"/>
    <col min="4112" max="4352" width="9.140625" style="2"/>
    <col min="4353" max="4353" width="10.140625" style="2" bestFit="1" customWidth="1"/>
    <col min="4354" max="4355" width="9.140625" style="2"/>
    <col min="4356" max="4356" width="20.85546875" style="2" customWidth="1"/>
    <col min="4357" max="4357" width="12.85546875" style="2" bestFit="1" customWidth="1"/>
    <col min="4358" max="4358" width="9.140625" style="2"/>
    <col min="4359" max="4359" width="19.85546875" style="2" customWidth="1"/>
    <col min="4360" max="4360" width="14.7109375" style="2" customWidth="1"/>
    <col min="4361" max="4361" width="34" style="2" bestFit="1" customWidth="1"/>
    <col min="4362" max="4362" width="4" style="2" customWidth="1"/>
    <col min="4363" max="4363" width="14.140625" style="2" customWidth="1"/>
    <col min="4364" max="4364" width="11.42578125" style="2" customWidth="1"/>
    <col min="4365" max="4367" width="9.28515625" style="2" bestFit="1" customWidth="1"/>
    <col min="4368" max="4608" width="9.140625" style="2"/>
    <col min="4609" max="4609" width="10.140625" style="2" bestFit="1" customWidth="1"/>
    <col min="4610" max="4611" width="9.140625" style="2"/>
    <col min="4612" max="4612" width="20.85546875" style="2" customWidth="1"/>
    <col min="4613" max="4613" width="12.85546875" style="2" bestFit="1" customWidth="1"/>
    <col min="4614" max="4614" width="9.140625" style="2"/>
    <col min="4615" max="4615" width="19.85546875" style="2" customWidth="1"/>
    <col min="4616" max="4616" width="14.7109375" style="2" customWidth="1"/>
    <col min="4617" max="4617" width="34" style="2" bestFit="1" customWidth="1"/>
    <col min="4618" max="4618" width="4" style="2" customWidth="1"/>
    <col min="4619" max="4619" width="14.140625" style="2" customWidth="1"/>
    <col min="4620" max="4620" width="11.42578125" style="2" customWidth="1"/>
    <col min="4621" max="4623" width="9.28515625" style="2" bestFit="1" customWidth="1"/>
    <col min="4624" max="4864" width="9.140625" style="2"/>
    <col min="4865" max="4865" width="10.140625" style="2" bestFit="1" customWidth="1"/>
    <col min="4866" max="4867" width="9.140625" style="2"/>
    <col min="4868" max="4868" width="20.85546875" style="2" customWidth="1"/>
    <col min="4869" max="4869" width="12.85546875" style="2" bestFit="1" customWidth="1"/>
    <col min="4870" max="4870" width="9.140625" style="2"/>
    <col min="4871" max="4871" width="19.85546875" style="2" customWidth="1"/>
    <col min="4872" max="4872" width="14.7109375" style="2" customWidth="1"/>
    <col min="4873" max="4873" width="34" style="2" bestFit="1" customWidth="1"/>
    <col min="4874" max="4874" width="4" style="2" customWidth="1"/>
    <col min="4875" max="4875" width="14.140625" style="2" customWidth="1"/>
    <col min="4876" max="4876" width="11.42578125" style="2" customWidth="1"/>
    <col min="4877" max="4879" width="9.28515625" style="2" bestFit="1" customWidth="1"/>
    <col min="4880" max="5120" width="9.140625" style="2"/>
    <col min="5121" max="5121" width="10.140625" style="2" bestFit="1" customWidth="1"/>
    <col min="5122" max="5123" width="9.140625" style="2"/>
    <col min="5124" max="5124" width="20.85546875" style="2" customWidth="1"/>
    <col min="5125" max="5125" width="12.85546875" style="2" bestFit="1" customWidth="1"/>
    <col min="5126" max="5126" width="9.140625" style="2"/>
    <col min="5127" max="5127" width="19.85546875" style="2" customWidth="1"/>
    <col min="5128" max="5128" width="14.7109375" style="2" customWidth="1"/>
    <col min="5129" max="5129" width="34" style="2" bestFit="1" customWidth="1"/>
    <col min="5130" max="5130" width="4" style="2" customWidth="1"/>
    <col min="5131" max="5131" width="14.140625" style="2" customWidth="1"/>
    <col min="5132" max="5132" width="11.42578125" style="2" customWidth="1"/>
    <col min="5133" max="5135" width="9.28515625" style="2" bestFit="1" customWidth="1"/>
    <col min="5136" max="5376" width="9.140625" style="2"/>
    <col min="5377" max="5377" width="10.140625" style="2" bestFit="1" customWidth="1"/>
    <col min="5378" max="5379" width="9.140625" style="2"/>
    <col min="5380" max="5380" width="20.85546875" style="2" customWidth="1"/>
    <col min="5381" max="5381" width="12.85546875" style="2" bestFit="1" customWidth="1"/>
    <col min="5382" max="5382" width="9.140625" style="2"/>
    <col min="5383" max="5383" width="19.85546875" style="2" customWidth="1"/>
    <col min="5384" max="5384" width="14.7109375" style="2" customWidth="1"/>
    <col min="5385" max="5385" width="34" style="2" bestFit="1" customWidth="1"/>
    <col min="5386" max="5386" width="4" style="2" customWidth="1"/>
    <col min="5387" max="5387" width="14.140625" style="2" customWidth="1"/>
    <col min="5388" max="5388" width="11.42578125" style="2" customWidth="1"/>
    <col min="5389" max="5391" width="9.28515625" style="2" bestFit="1" customWidth="1"/>
    <col min="5392" max="5632" width="9.140625" style="2"/>
    <col min="5633" max="5633" width="10.140625" style="2" bestFit="1" customWidth="1"/>
    <col min="5634" max="5635" width="9.140625" style="2"/>
    <col min="5636" max="5636" width="20.85546875" style="2" customWidth="1"/>
    <col min="5637" max="5637" width="12.85546875" style="2" bestFit="1" customWidth="1"/>
    <col min="5638" max="5638" width="9.140625" style="2"/>
    <col min="5639" max="5639" width="19.85546875" style="2" customWidth="1"/>
    <col min="5640" max="5640" width="14.7109375" style="2" customWidth="1"/>
    <col min="5641" max="5641" width="34" style="2" bestFit="1" customWidth="1"/>
    <col min="5642" max="5642" width="4" style="2" customWidth="1"/>
    <col min="5643" max="5643" width="14.140625" style="2" customWidth="1"/>
    <col min="5644" max="5644" width="11.42578125" style="2" customWidth="1"/>
    <col min="5645" max="5647" width="9.28515625" style="2" bestFit="1" customWidth="1"/>
    <col min="5648" max="5888" width="9.140625" style="2"/>
    <col min="5889" max="5889" width="10.140625" style="2" bestFit="1" customWidth="1"/>
    <col min="5890" max="5891" width="9.140625" style="2"/>
    <col min="5892" max="5892" width="20.85546875" style="2" customWidth="1"/>
    <col min="5893" max="5893" width="12.85546875" style="2" bestFit="1" customWidth="1"/>
    <col min="5894" max="5894" width="9.140625" style="2"/>
    <col min="5895" max="5895" width="19.85546875" style="2" customWidth="1"/>
    <col min="5896" max="5896" width="14.7109375" style="2" customWidth="1"/>
    <col min="5897" max="5897" width="34" style="2" bestFit="1" customWidth="1"/>
    <col min="5898" max="5898" width="4" style="2" customWidth="1"/>
    <col min="5899" max="5899" width="14.140625" style="2" customWidth="1"/>
    <col min="5900" max="5900" width="11.42578125" style="2" customWidth="1"/>
    <col min="5901" max="5903" width="9.28515625" style="2" bestFit="1" customWidth="1"/>
    <col min="5904" max="6144" width="9.140625" style="2"/>
    <col min="6145" max="6145" width="10.140625" style="2" bestFit="1" customWidth="1"/>
    <col min="6146" max="6147" width="9.140625" style="2"/>
    <col min="6148" max="6148" width="20.85546875" style="2" customWidth="1"/>
    <col min="6149" max="6149" width="12.85546875" style="2" bestFit="1" customWidth="1"/>
    <col min="6150" max="6150" width="9.140625" style="2"/>
    <col min="6151" max="6151" width="19.85546875" style="2" customWidth="1"/>
    <col min="6152" max="6152" width="14.7109375" style="2" customWidth="1"/>
    <col min="6153" max="6153" width="34" style="2" bestFit="1" customWidth="1"/>
    <col min="6154" max="6154" width="4" style="2" customWidth="1"/>
    <col min="6155" max="6155" width="14.140625" style="2" customWidth="1"/>
    <col min="6156" max="6156" width="11.42578125" style="2" customWidth="1"/>
    <col min="6157" max="6159" width="9.28515625" style="2" bestFit="1" customWidth="1"/>
    <col min="6160" max="6400" width="9.140625" style="2"/>
    <col min="6401" max="6401" width="10.140625" style="2" bestFit="1" customWidth="1"/>
    <col min="6402" max="6403" width="9.140625" style="2"/>
    <col min="6404" max="6404" width="20.85546875" style="2" customWidth="1"/>
    <col min="6405" max="6405" width="12.85546875" style="2" bestFit="1" customWidth="1"/>
    <col min="6406" max="6406" width="9.140625" style="2"/>
    <col min="6407" max="6407" width="19.85546875" style="2" customWidth="1"/>
    <col min="6408" max="6408" width="14.7109375" style="2" customWidth="1"/>
    <col min="6409" max="6409" width="34" style="2" bestFit="1" customWidth="1"/>
    <col min="6410" max="6410" width="4" style="2" customWidth="1"/>
    <col min="6411" max="6411" width="14.140625" style="2" customWidth="1"/>
    <col min="6412" max="6412" width="11.42578125" style="2" customWidth="1"/>
    <col min="6413" max="6415" width="9.28515625" style="2" bestFit="1" customWidth="1"/>
    <col min="6416" max="6656" width="9.140625" style="2"/>
    <col min="6657" max="6657" width="10.140625" style="2" bestFit="1" customWidth="1"/>
    <col min="6658" max="6659" width="9.140625" style="2"/>
    <col min="6660" max="6660" width="20.85546875" style="2" customWidth="1"/>
    <col min="6661" max="6661" width="12.85546875" style="2" bestFit="1" customWidth="1"/>
    <col min="6662" max="6662" width="9.140625" style="2"/>
    <col min="6663" max="6663" width="19.85546875" style="2" customWidth="1"/>
    <col min="6664" max="6664" width="14.7109375" style="2" customWidth="1"/>
    <col min="6665" max="6665" width="34" style="2" bestFit="1" customWidth="1"/>
    <col min="6666" max="6666" width="4" style="2" customWidth="1"/>
    <col min="6667" max="6667" width="14.140625" style="2" customWidth="1"/>
    <col min="6668" max="6668" width="11.42578125" style="2" customWidth="1"/>
    <col min="6669" max="6671" width="9.28515625" style="2" bestFit="1" customWidth="1"/>
    <col min="6672" max="6912" width="9.140625" style="2"/>
    <col min="6913" max="6913" width="10.140625" style="2" bestFit="1" customWidth="1"/>
    <col min="6914" max="6915" width="9.140625" style="2"/>
    <col min="6916" max="6916" width="20.85546875" style="2" customWidth="1"/>
    <col min="6917" max="6917" width="12.85546875" style="2" bestFit="1" customWidth="1"/>
    <col min="6918" max="6918" width="9.140625" style="2"/>
    <col min="6919" max="6919" width="19.85546875" style="2" customWidth="1"/>
    <col min="6920" max="6920" width="14.7109375" style="2" customWidth="1"/>
    <col min="6921" max="6921" width="34" style="2" bestFit="1" customWidth="1"/>
    <col min="6922" max="6922" width="4" style="2" customWidth="1"/>
    <col min="6923" max="6923" width="14.140625" style="2" customWidth="1"/>
    <col min="6924" max="6924" width="11.42578125" style="2" customWidth="1"/>
    <col min="6925" max="6927" width="9.28515625" style="2" bestFit="1" customWidth="1"/>
    <col min="6928" max="7168" width="9.140625" style="2"/>
    <col min="7169" max="7169" width="10.140625" style="2" bestFit="1" customWidth="1"/>
    <col min="7170" max="7171" width="9.140625" style="2"/>
    <col min="7172" max="7172" width="20.85546875" style="2" customWidth="1"/>
    <col min="7173" max="7173" width="12.85546875" style="2" bestFit="1" customWidth="1"/>
    <col min="7174" max="7174" width="9.140625" style="2"/>
    <col min="7175" max="7175" width="19.85546875" style="2" customWidth="1"/>
    <col min="7176" max="7176" width="14.7109375" style="2" customWidth="1"/>
    <col min="7177" max="7177" width="34" style="2" bestFit="1" customWidth="1"/>
    <col min="7178" max="7178" width="4" style="2" customWidth="1"/>
    <col min="7179" max="7179" width="14.140625" style="2" customWidth="1"/>
    <col min="7180" max="7180" width="11.42578125" style="2" customWidth="1"/>
    <col min="7181" max="7183" width="9.28515625" style="2" bestFit="1" customWidth="1"/>
    <col min="7184" max="7424" width="9.140625" style="2"/>
    <col min="7425" max="7425" width="10.140625" style="2" bestFit="1" customWidth="1"/>
    <col min="7426" max="7427" width="9.140625" style="2"/>
    <col min="7428" max="7428" width="20.85546875" style="2" customWidth="1"/>
    <col min="7429" max="7429" width="12.85546875" style="2" bestFit="1" customWidth="1"/>
    <col min="7430" max="7430" width="9.140625" style="2"/>
    <col min="7431" max="7431" width="19.85546875" style="2" customWidth="1"/>
    <col min="7432" max="7432" width="14.7109375" style="2" customWidth="1"/>
    <col min="7433" max="7433" width="34" style="2" bestFit="1" customWidth="1"/>
    <col min="7434" max="7434" width="4" style="2" customWidth="1"/>
    <col min="7435" max="7435" width="14.140625" style="2" customWidth="1"/>
    <col min="7436" max="7436" width="11.42578125" style="2" customWidth="1"/>
    <col min="7437" max="7439" width="9.28515625" style="2" bestFit="1" customWidth="1"/>
    <col min="7440" max="7680" width="9.140625" style="2"/>
    <col min="7681" max="7681" width="10.140625" style="2" bestFit="1" customWidth="1"/>
    <col min="7682" max="7683" width="9.140625" style="2"/>
    <col min="7684" max="7684" width="20.85546875" style="2" customWidth="1"/>
    <col min="7685" max="7685" width="12.85546875" style="2" bestFit="1" customWidth="1"/>
    <col min="7686" max="7686" width="9.140625" style="2"/>
    <col min="7687" max="7687" width="19.85546875" style="2" customWidth="1"/>
    <col min="7688" max="7688" width="14.7109375" style="2" customWidth="1"/>
    <col min="7689" max="7689" width="34" style="2" bestFit="1" customWidth="1"/>
    <col min="7690" max="7690" width="4" style="2" customWidth="1"/>
    <col min="7691" max="7691" width="14.140625" style="2" customWidth="1"/>
    <col min="7692" max="7692" width="11.42578125" style="2" customWidth="1"/>
    <col min="7693" max="7695" width="9.28515625" style="2" bestFit="1" customWidth="1"/>
    <col min="7696" max="7936" width="9.140625" style="2"/>
    <col min="7937" max="7937" width="10.140625" style="2" bestFit="1" customWidth="1"/>
    <col min="7938" max="7939" width="9.140625" style="2"/>
    <col min="7940" max="7940" width="20.85546875" style="2" customWidth="1"/>
    <col min="7941" max="7941" width="12.85546875" style="2" bestFit="1" customWidth="1"/>
    <col min="7942" max="7942" width="9.140625" style="2"/>
    <col min="7943" max="7943" width="19.85546875" style="2" customWidth="1"/>
    <col min="7944" max="7944" width="14.7109375" style="2" customWidth="1"/>
    <col min="7945" max="7945" width="34" style="2" bestFit="1" customWidth="1"/>
    <col min="7946" max="7946" width="4" style="2" customWidth="1"/>
    <col min="7947" max="7947" width="14.140625" style="2" customWidth="1"/>
    <col min="7948" max="7948" width="11.42578125" style="2" customWidth="1"/>
    <col min="7949" max="7951" width="9.28515625" style="2" bestFit="1" customWidth="1"/>
    <col min="7952" max="8192" width="9.140625" style="2"/>
    <col min="8193" max="8193" width="10.140625" style="2" bestFit="1" customWidth="1"/>
    <col min="8194" max="8195" width="9.140625" style="2"/>
    <col min="8196" max="8196" width="20.85546875" style="2" customWidth="1"/>
    <col min="8197" max="8197" width="12.85546875" style="2" bestFit="1" customWidth="1"/>
    <col min="8198" max="8198" width="9.140625" style="2"/>
    <col min="8199" max="8199" width="19.85546875" style="2" customWidth="1"/>
    <col min="8200" max="8200" width="14.7109375" style="2" customWidth="1"/>
    <col min="8201" max="8201" width="34" style="2" bestFit="1" customWidth="1"/>
    <col min="8202" max="8202" width="4" style="2" customWidth="1"/>
    <col min="8203" max="8203" width="14.140625" style="2" customWidth="1"/>
    <col min="8204" max="8204" width="11.42578125" style="2" customWidth="1"/>
    <col min="8205" max="8207" width="9.28515625" style="2" bestFit="1" customWidth="1"/>
    <col min="8208" max="8448" width="9.140625" style="2"/>
    <col min="8449" max="8449" width="10.140625" style="2" bestFit="1" customWidth="1"/>
    <col min="8450" max="8451" width="9.140625" style="2"/>
    <col min="8452" max="8452" width="20.85546875" style="2" customWidth="1"/>
    <col min="8453" max="8453" width="12.85546875" style="2" bestFit="1" customWidth="1"/>
    <col min="8454" max="8454" width="9.140625" style="2"/>
    <col min="8455" max="8455" width="19.85546875" style="2" customWidth="1"/>
    <col min="8456" max="8456" width="14.7109375" style="2" customWidth="1"/>
    <col min="8457" max="8457" width="34" style="2" bestFit="1" customWidth="1"/>
    <col min="8458" max="8458" width="4" style="2" customWidth="1"/>
    <col min="8459" max="8459" width="14.140625" style="2" customWidth="1"/>
    <col min="8460" max="8460" width="11.42578125" style="2" customWidth="1"/>
    <col min="8461" max="8463" width="9.28515625" style="2" bestFit="1" customWidth="1"/>
    <col min="8464" max="8704" width="9.140625" style="2"/>
    <col min="8705" max="8705" width="10.140625" style="2" bestFit="1" customWidth="1"/>
    <col min="8706" max="8707" width="9.140625" style="2"/>
    <col min="8708" max="8708" width="20.85546875" style="2" customWidth="1"/>
    <col min="8709" max="8709" width="12.85546875" style="2" bestFit="1" customWidth="1"/>
    <col min="8710" max="8710" width="9.140625" style="2"/>
    <col min="8711" max="8711" width="19.85546875" style="2" customWidth="1"/>
    <col min="8712" max="8712" width="14.7109375" style="2" customWidth="1"/>
    <col min="8713" max="8713" width="34" style="2" bestFit="1" customWidth="1"/>
    <col min="8714" max="8714" width="4" style="2" customWidth="1"/>
    <col min="8715" max="8715" width="14.140625" style="2" customWidth="1"/>
    <col min="8716" max="8716" width="11.42578125" style="2" customWidth="1"/>
    <col min="8717" max="8719" width="9.28515625" style="2" bestFit="1" customWidth="1"/>
    <col min="8720" max="8960" width="9.140625" style="2"/>
    <col min="8961" max="8961" width="10.140625" style="2" bestFit="1" customWidth="1"/>
    <col min="8962" max="8963" width="9.140625" style="2"/>
    <col min="8964" max="8964" width="20.85546875" style="2" customWidth="1"/>
    <col min="8965" max="8965" width="12.85546875" style="2" bestFit="1" customWidth="1"/>
    <col min="8966" max="8966" width="9.140625" style="2"/>
    <col min="8967" max="8967" width="19.85546875" style="2" customWidth="1"/>
    <col min="8968" max="8968" width="14.7109375" style="2" customWidth="1"/>
    <col min="8969" max="8969" width="34" style="2" bestFit="1" customWidth="1"/>
    <col min="8970" max="8970" width="4" style="2" customWidth="1"/>
    <col min="8971" max="8971" width="14.140625" style="2" customWidth="1"/>
    <col min="8972" max="8972" width="11.42578125" style="2" customWidth="1"/>
    <col min="8973" max="8975" width="9.28515625" style="2" bestFit="1" customWidth="1"/>
    <col min="8976" max="9216" width="9.140625" style="2"/>
    <col min="9217" max="9217" width="10.140625" style="2" bestFit="1" customWidth="1"/>
    <col min="9218" max="9219" width="9.140625" style="2"/>
    <col min="9220" max="9220" width="20.85546875" style="2" customWidth="1"/>
    <col min="9221" max="9221" width="12.85546875" style="2" bestFit="1" customWidth="1"/>
    <col min="9222" max="9222" width="9.140625" style="2"/>
    <col min="9223" max="9223" width="19.85546875" style="2" customWidth="1"/>
    <col min="9224" max="9224" width="14.7109375" style="2" customWidth="1"/>
    <col min="9225" max="9225" width="34" style="2" bestFit="1" customWidth="1"/>
    <col min="9226" max="9226" width="4" style="2" customWidth="1"/>
    <col min="9227" max="9227" width="14.140625" style="2" customWidth="1"/>
    <col min="9228" max="9228" width="11.42578125" style="2" customWidth="1"/>
    <col min="9229" max="9231" width="9.28515625" style="2" bestFit="1" customWidth="1"/>
    <col min="9232" max="9472" width="9.140625" style="2"/>
    <col min="9473" max="9473" width="10.140625" style="2" bestFit="1" customWidth="1"/>
    <col min="9474" max="9475" width="9.140625" style="2"/>
    <col min="9476" max="9476" width="20.85546875" style="2" customWidth="1"/>
    <col min="9477" max="9477" width="12.85546875" style="2" bestFit="1" customWidth="1"/>
    <col min="9478" max="9478" width="9.140625" style="2"/>
    <col min="9479" max="9479" width="19.85546875" style="2" customWidth="1"/>
    <col min="9480" max="9480" width="14.7109375" style="2" customWidth="1"/>
    <col min="9481" max="9481" width="34" style="2" bestFit="1" customWidth="1"/>
    <col min="9482" max="9482" width="4" style="2" customWidth="1"/>
    <col min="9483" max="9483" width="14.140625" style="2" customWidth="1"/>
    <col min="9484" max="9484" width="11.42578125" style="2" customWidth="1"/>
    <col min="9485" max="9487" width="9.28515625" style="2" bestFit="1" customWidth="1"/>
    <col min="9488" max="9728" width="9.140625" style="2"/>
    <col min="9729" max="9729" width="10.140625" style="2" bestFit="1" customWidth="1"/>
    <col min="9730" max="9731" width="9.140625" style="2"/>
    <col min="9732" max="9732" width="20.85546875" style="2" customWidth="1"/>
    <col min="9733" max="9733" width="12.85546875" style="2" bestFit="1" customWidth="1"/>
    <col min="9734" max="9734" width="9.140625" style="2"/>
    <col min="9735" max="9735" width="19.85546875" style="2" customWidth="1"/>
    <col min="9736" max="9736" width="14.7109375" style="2" customWidth="1"/>
    <col min="9737" max="9737" width="34" style="2" bestFit="1" customWidth="1"/>
    <col min="9738" max="9738" width="4" style="2" customWidth="1"/>
    <col min="9739" max="9739" width="14.140625" style="2" customWidth="1"/>
    <col min="9740" max="9740" width="11.42578125" style="2" customWidth="1"/>
    <col min="9741" max="9743" width="9.28515625" style="2" bestFit="1" customWidth="1"/>
    <col min="9744" max="9984" width="9.140625" style="2"/>
    <col min="9985" max="9985" width="10.140625" style="2" bestFit="1" customWidth="1"/>
    <col min="9986" max="9987" width="9.140625" style="2"/>
    <col min="9988" max="9988" width="20.85546875" style="2" customWidth="1"/>
    <col min="9989" max="9989" width="12.85546875" style="2" bestFit="1" customWidth="1"/>
    <col min="9990" max="9990" width="9.140625" style="2"/>
    <col min="9991" max="9991" width="19.85546875" style="2" customWidth="1"/>
    <col min="9992" max="9992" width="14.7109375" style="2" customWidth="1"/>
    <col min="9993" max="9993" width="34" style="2" bestFit="1" customWidth="1"/>
    <col min="9994" max="9994" width="4" style="2" customWidth="1"/>
    <col min="9995" max="9995" width="14.140625" style="2" customWidth="1"/>
    <col min="9996" max="9996" width="11.42578125" style="2" customWidth="1"/>
    <col min="9997" max="9999" width="9.28515625" style="2" bestFit="1" customWidth="1"/>
    <col min="10000" max="10240" width="9.140625" style="2"/>
    <col min="10241" max="10241" width="10.140625" style="2" bestFit="1" customWidth="1"/>
    <col min="10242" max="10243" width="9.140625" style="2"/>
    <col min="10244" max="10244" width="20.85546875" style="2" customWidth="1"/>
    <col min="10245" max="10245" width="12.85546875" style="2" bestFit="1" customWidth="1"/>
    <col min="10246" max="10246" width="9.140625" style="2"/>
    <col min="10247" max="10247" width="19.85546875" style="2" customWidth="1"/>
    <col min="10248" max="10248" width="14.7109375" style="2" customWidth="1"/>
    <col min="10249" max="10249" width="34" style="2" bestFit="1" customWidth="1"/>
    <col min="10250" max="10250" width="4" style="2" customWidth="1"/>
    <col min="10251" max="10251" width="14.140625" style="2" customWidth="1"/>
    <col min="10252" max="10252" width="11.42578125" style="2" customWidth="1"/>
    <col min="10253" max="10255" width="9.28515625" style="2" bestFit="1" customWidth="1"/>
    <col min="10256" max="10496" width="9.140625" style="2"/>
    <col min="10497" max="10497" width="10.140625" style="2" bestFit="1" customWidth="1"/>
    <col min="10498" max="10499" width="9.140625" style="2"/>
    <col min="10500" max="10500" width="20.85546875" style="2" customWidth="1"/>
    <col min="10501" max="10501" width="12.85546875" style="2" bestFit="1" customWidth="1"/>
    <col min="10502" max="10502" width="9.140625" style="2"/>
    <col min="10503" max="10503" width="19.85546875" style="2" customWidth="1"/>
    <col min="10504" max="10504" width="14.7109375" style="2" customWidth="1"/>
    <col min="10505" max="10505" width="34" style="2" bestFit="1" customWidth="1"/>
    <col min="10506" max="10506" width="4" style="2" customWidth="1"/>
    <col min="10507" max="10507" width="14.140625" style="2" customWidth="1"/>
    <col min="10508" max="10508" width="11.42578125" style="2" customWidth="1"/>
    <col min="10509" max="10511" width="9.28515625" style="2" bestFit="1" customWidth="1"/>
    <col min="10512" max="10752" width="9.140625" style="2"/>
    <col min="10753" max="10753" width="10.140625" style="2" bestFit="1" customWidth="1"/>
    <col min="10754" max="10755" width="9.140625" style="2"/>
    <col min="10756" max="10756" width="20.85546875" style="2" customWidth="1"/>
    <col min="10757" max="10757" width="12.85546875" style="2" bestFit="1" customWidth="1"/>
    <col min="10758" max="10758" width="9.140625" style="2"/>
    <col min="10759" max="10759" width="19.85546875" style="2" customWidth="1"/>
    <col min="10760" max="10760" width="14.7109375" style="2" customWidth="1"/>
    <col min="10761" max="10761" width="34" style="2" bestFit="1" customWidth="1"/>
    <col min="10762" max="10762" width="4" style="2" customWidth="1"/>
    <col min="10763" max="10763" width="14.140625" style="2" customWidth="1"/>
    <col min="10764" max="10764" width="11.42578125" style="2" customWidth="1"/>
    <col min="10765" max="10767" width="9.28515625" style="2" bestFit="1" customWidth="1"/>
    <col min="10768" max="11008" width="9.140625" style="2"/>
    <col min="11009" max="11009" width="10.140625" style="2" bestFit="1" customWidth="1"/>
    <col min="11010" max="11011" width="9.140625" style="2"/>
    <col min="11012" max="11012" width="20.85546875" style="2" customWidth="1"/>
    <col min="11013" max="11013" width="12.85546875" style="2" bestFit="1" customWidth="1"/>
    <col min="11014" max="11014" width="9.140625" style="2"/>
    <col min="11015" max="11015" width="19.85546875" style="2" customWidth="1"/>
    <col min="11016" max="11016" width="14.7109375" style="2" customWidth="1"/>
    <col min="11017" max="11017" width="34" style="2" bestFit="1" customWidth="1"/>
    <col min="11018" max="11018" width="4" style="2" customWidth="1"/>
    <col min="11019" max="11019" width="14.140625" style="2" customWidth="1"/>
    <col min="11020" max="11020" width="11.42578125" style="2" customWidth="1"/>
    <col min="11021" max="11023" width="9.28515625" style="2" bestFit="1" customWidth="1"/>
    <col min="11024" max="11264" width="9.140625" style="2"/>
    <col min="11265" max="11265" width="10.140625" style="2" bestFit="1" customWidth="1"/>
    <col min="11266" max="11267" width="9.140625" style="2"/>
    <col min="11268" max="11268" width="20.85546875" style="2" customWidth="1"/>
    <col min="11269" max="11269" width="12.85546875" style="2" bestFit="1" customWidth="1"/>
    <col min="11270" max="11270" width="9.140625" style="2"/>
    <col min="11271" max="11271" width="19.85546875" style="2" customWidth="1"/>
    <col min="11272" max="11272" width="14.7109375" style="2" customWidth="1"/>
    <col min="11273" max="11273" width="34" style="2" bestFit="1" customWidth="1"/>
    <col min="11274" max="11274" width="4" style="2" customWidth="1"/>
    <col min="11275" max="11275" width="14.140625" style="2" customWidth="1"/>
    <col min="11276" max="11276" width="11.42578125" style="2" customWidth="1"/>
    <col min="11277" max="11279" width="9.28515625" style="2" bestFit="1" customWidth="1"/>
    <col min="11280" max="11520" width="9.140625" style="2"/>
    <col min="11521" max="11521" width="10.140625" style="2" bestFit="1" customWidth="1"/>
    <col min="11522" max="11523" width="9.140625" style="2"/>
    <col min="11524" max="11524" width="20.85546875" style="2" customWidth="1"/>
    <col min="11525" max="11525" width="12.85546875" style="2" bestFit="1" customWidth="1"/>
    <col min="11526" max="11526" width="9.140625" style="2"/>
    <col min="11527" max="11527" width="19.85546875" style="2" customWidth="1"/>
    <col min="11528" max="11528" width="14.7109375" style="2" customWidth="1"/>
    <col min="11529" max="11529" width="34" style="2" bestFit="1" customWidth="1"/>
    <col min="11530" max="11530" width="4" style="2" customWidth="1"/>
    <col min="11531" max="11531" width="14.140625" style="2" customWidth="1"/>
    <col min="11532" max="11532" width="11.42578125" style="2" customWidth="1"/>
    <col min="11533" max="11535" width="9.28515625" style="2" bestFit="1" customWidth="1"/>
    <col min="11536" max="11776" width="9.140625" style="2"/>
    <col min="11777" max="11777" width="10.140625" style="2" bestFit="1" customWidth="1"/>
    <col min="11778" max="11779" width="9.140625" style="2"/>
    <col min="11780" max="11780" width="20.85546875" style="2" customWidth="1"/>
    <col min="11781" max="11781" width="12.85546875" style="2" bestFit="1" customWidth="1"/>
    <col min="11782" max="11782" width="9.140625" style="2"/>
    <col min="11783" max="11783" width="19.85546875" style="2" customWidth="1"/>
    <col min="11784" max="11784" width="14.7109375" style="2" customWidth="1"/>
    <col min="11785" max="11785" width="34" style="2" bestFit="1" customWidth="1"/>
    <col min="11786" max="11786" width="4" style="2" customWidth="1"/>
    <col min="11787" max="11787" width="14.140625" style="2" customWidth="1"/>
    <col min="11788" max="11788" width="11.42578125" style="2" customWidth="1"/>
    <col min="11789" max="11791" width="9.28515625" style="2" bestFit="1" customWidth="1"/>
    <col min="11792" max="12032" width="9.140625" style="2"/>
    <col min="12033" max="12033" width="10.140625" style="2" bestFit="1" customWidth="1"/>
    <col min="12034" max="12035" width="9.140625" style="2"/>
    <col min="12036" max="12036" width="20.85546875" style="2" customWidth="1"/>
    <col min="12037" max="12037" width="12.85546875" style="2" bestFit="1" customWidth="1"/>
    <col min="12038" max="12038" width="9.140625" style="2"/>
    <col min="12039" max="12039" width="19.85546875" style="2" customWidth="1"/>
    <col min="12040" max="12040" width="14.7109375" style="2" customWidth="1"/>
    <col min="12041" max="12041" width="34" style="2" bestFit="1" customWidth="1"/>
    <col min="12042" max="12042" width="4" style="2" customWidth="1"/>
    <col min="12043" max="12043" width="14.140625" style="2" customWidth="1"/>
    <col min="12044" max="12044" width="11.42578125" style="2" customWidth="1"/>
    <col min="12045" max="12047" width="9.28515625" style="2" bestFit="1" customWidth="1"/>
    <col min="12048" max="12288" width="9.140625" style="2"/>
    <col min="12289" max="12289" width="10.140625" style="2" bestFit="1" customWidth="1"/>
    <col min="12290" max="12291" width="9.140625" style="2"/>
    <col min="12292" max="12292" width="20.85546875" style="2" customWidth="1"/>
    <col min="12293" max="12293" width="12.85546875" style="2" bestFit="1" customWidth="1"/>
    <col min="12294" max="12294" width="9.140625" style="2"/>
    <col min="12295" max="12295" width="19.85546875" style="2" customWidth="1"/>
    <col min="12296" max="12296" width="14.7109375" style="2" customWidth="1"/>
    <col min="12297" max="12297" width="34" style="2" bestFit="1" customWidth="1"/>
    <col min="12298" max="12298" width="4" style="2" customWidth="1"/>
    <col min="12299" max="12299" width="14.140625" style="2" customWidth="1"/>
    <col min="12300" max="12300" width="11.42578125" style="2" customWidth="1"/>
    <col min="12301" max="12303" width="9.28515625" style="2" bestFit="1" customWidth="1"/>
    <col min="12304" max="12544" width="9.140625" style="2"/>
    <col min="12545" max="12545" width="10.140625" style="2" bestFit="1" customWidth="1"/>
    <col min="12546" max="12547" width="9.140625" style="2"/>
    <col min="12548" max="12548" width="20.85546875" style="2" customWidth="1"/>
    <col min="12549" max="12549" width="12.85546875" style="2" bestFit="1" customWidth="1"/>
    <col min="12550" max="12550" width="9.140625" style="2"/>
    <col min="12551" max="12551" width="19.85546875" style="2" customWidth="1"/>
    <col min="12552" max="12552" width="14.7109375" style="2" customWidth="1"/>
    <col min="12553" max="12553" width="34" style="2" bestFit="1" customWidth="1"/>
    <col min="12554" max="12554" width="4" style="2" customWidth="1"/>
    <col min="12555" max="12555" width="14.140625" style="2" customWidth="1"/>
    <col min="12556" max="12556" width="11.42578125" style="2" customWidth="1"/>
    <col min="12557" max="12559" width="9.28515625" style="2" bestFit="1" customWidth="1"/>
    <col min="12560" max="12800" width="9.140625" style="2"/>
    <col min="12801" max="12801" width="10.140625" style="2" bestFit="1" customWidth="1"/>
    <col min="12802" max="12803" width="9.140625" style="2"/>
    <col min="12804" max="12804" width="20.85546875" style="2" customWidth="1"/>
    <col min="12805" max="12805" width="12.85546875" style="2" bestFit="1" customWidth="1"/>
    <col min="12806" max="12806" width="9.140625" style="2"/>
    <col min="12807" max="12807" width="19.85546875" style="2" customWidth="1"/>
    <col min="12808" max="12808" width="14.7109375" style="2" customWidth="1"/>
    <col min="12809" max="12809" width="34" style="2" bestFit="1" customWidth="1"/>
    <col min="12810" max="12810" width="4" style="2" customWidth="1"/>
    <col min="12811" max="12811" width="14.140625" style="2" customWidth="1"/>
    <col min="12812" max="12812" width="11.42578125" style="2" customWidth="1"/>
    <col min="12813" max="12815" width="9.28515625" style="2" bestFit="1" customWidth="1"/>
    <col min="12816" max="13056" width="9.140625" style="2"/>
    <col min="13057" max="13057" width="10.140625" style="2" bestFit="1" customWidth="1"/>
    <col min="13058" max="13059" width="9.140625" style="2"/>
    <col min="13060" max="13060" width="20.85546875" style="2" customWidth="1"/>
    <col min="13061" max="13061" width="12.85546875" style="2" bestFit="1" customWidth="1"/>
    <col min="13062" max="13062" width="9.140625" style="2"/>
    <col min="13063" max="13063" width="19.85546875" style="2" customWidth="1"/>
    <col min="13064" max="13064" width="14.7109375" style="2" customWidth="1"/>
    <col min="13065" max="13065" width="34" style="2" bestFit="1" customWidth="1"/>
    <col min="13066" max="13066" width="4" style="2" customWidth="1"/>
    <col min="13067" max="13067" width="14.140625" style="2" customWidth="1"/>
    <col min="13068" max="13068" width="11.42578125" style="2" customWidth="1"/>
    <col min="13069" max="13071" width="9.28515625" style="2" bestFit="1" customWidth="1"/>
    <col min="13072" max="13312" width="9.140625" style="2"/>
    <col min="13313" max="13313" width="10.140625" style="2" bestFit="1" customWidth="1"/>
    <col min="13314" max="13315" width="9.140625" style="2"/>
    <col min="13316" max="13316" width="20.85546875" style="2" customWidth="1"/>
    <col min="13317" max="13317" width="12.85546875" style="2" bestFit="1" customWidth="1"/>
    <col min="13318" max="13318" width="9.140625" style="2"/>
    <col min="13319" max="13319" width="19.85546875" style="2" customWidth="1"/>
    <col min="13320" max="13320" width="14.7109375" style="2" customWidth="1"/>
    <col min="13321" max="13321" width="34" style="2" bestFit="1" customWidth="1"/>
    <col min="13322" max="13322" width="4" style="2" customWidth="1"/>
    <col min="13323" max="13323" width="14.140625" style="2" customWidth="1"/>
    <col min="13324" max="13324" width="11.42578125" style="2" customWidth="1"/>
    <col min="13325" max="13327" width="9.28515625" style="2" bestFit="1" customWidth="1"/>
    <col min="13328" max="13568" width="9.140625" style="2"/>
    <col min="13569" max="13569" width="10.140625" style="2" bestFit="1" customWidth="1"/>
    <col min="13570" max="13571" width="9.140625" style="2"/>
    <col min="13572" max="13572" width="20.85546875" style="2" customWidth="1"/>
    <col min="13573" max="13573" width="12.85546875" style="2" bestFit="1" customWidth="1"/>
    <col min="13574" max="13574" width="9.140625" style="2"/>
    <col min="13575" max="13575" width="19.85546875" style="2" customWidth="1"/>
    <col min="13576" max="13576" width="14.7109375" style="2" customWidth="1"/>
    <col min="13577" max="13577" width="34" style="2" bestFit="1" customWidth="1"/>
    <col min="13578" max="13578" width="4" style="2" customWidth="1"/>
    <col min="13579" max="13579" width="14.140625" style="2" customWidth="1"/>
    <col min="13580" max="13580" width="11.42578125" style="2" customWidth="1"/>
    <col min="13581" max="13583" width="9.28515625" style="2" bestFit="1" customWidth="1"/>
    <col min="13584" max="13824" width="9.140625" style="2"/>
    <col min="13825" max="13825" width="10.140625" style="2" bestFit="1" customWidth="1"/>
    <col min="13826" max="13827" width="9.140625" style="2"/>
    <col min="13828" max="13828" width="20.85546875" style="2" customWidth="1"/>
    <col min="13829" max="13829" width="12.85546875" style="2" bestFit="1" customWidth="1"/>
    <col min="13830" max="13830" width="9.140625" style="2"/>
    <col min="13831" max="13831" width="19.85546875" style="2" customWidth="1"/>
    <col min="13832" max="13832" width="14.7109375" style="2" customWidth="1"/>
    <col min="13833" max="13833" width="34" style="2" bestFit="1" customWidth="1"/>
    <col min="13834" max="13834" width="4" style="2" customWidth="1"/>
    <col min="13835" max="13835" width="14.140625" style="2" customWidth="1"/>
    <col min="13836" max="13836" width="11.42578125" style="2" customWidth="1"/>
    <col min="13837" max="13839" width="9.28515625" style="2" bestFit="1" customWidth="1"/>
    <col min="13840" max="14080" width="9.140625" style="2"/>
    <col min="14081" max="14081" width="10.140625" style="2" bestFit="1" customWidth="1"/>
    <col min="14082" max="14083" width="9.140625" style="2"/>
    <col min="14084" max="14084" width="20.85546875" style="2" customWidth="1"/>
    <col min="14085" max="14085" width="12.85546875" style="2" bestFit="1" customWidth="1"/>
    <col min="14086" max="14086" width="9.140625" style="2"/>
    <col min="14087" max="14087" width="19.85546875" style="2" customWidth="1"/>
    <col min="14088" max="14088" width="14.7109375" style="2" customWidth="1"/>
    <col min="14089" max="14089" width="34" style="2" bestFit="1" customWidth="1"/>
    <col min="14090" max="14090" width="4" style="2" customWidth="1"/>
    <col min="14091" max="14091" width="14.140625" style="2" customWidth="1"/>
    <col min="14092" max="14092" width="11.42578125" style="2" customWidth="1"/>
    <col min="14093" max="14095" width="9.28515625" style="2" bestFit="1" customWidth="1"/>
    <col min="14096" max="14336" width="9.140625" style="2"/>
    <col min="14337" max="14337" width="10.140625" style="2" bestFit="1" customWidth="1"/>
    <col min="14338" max="14339" width="9.140625" style="2"/>
    <col min="14340" max="14340" width="20.85546875" style="2" customWidth="1"/>
    <col min="14341" max="14341" width="12.85546875" style="2" bestFit="1" customWidth="1"/>
    <col min="14342" max="14342" width="9.140625" style="2"/>
    <col min="14343" max="14343" width="19.85546875" style="2" customWidth="1"/>
    <col min="14344" max="14344" width="14.7109375" style="2" customWidth="1"/>
    <col min="14345" max="14345" width="34" style="2" bestFit="1" customWidth="1"/>
    <col min="14346" max="14346" width="4" style="2" customWidth="1"/>
    <col min="14347" max="14347" width="14.140625" style="2" customWidth="1"/>
    <col min="14348" max="14348" width="11.42578125" style="2" customWidth="1"/>
    <col min="14349" max="14351" width="9.28515625" style="2" bestFit="1" customWidth="1"/>
    <col min="14352" max="14592" width="9.140625" style="2"/>
    <col min="14593" max="14593" width="10.140625" style="2" bestFit="1" customWidth="1"/>
    <col min="14594" max="14595" width="9.140625" style="2"/>
    <col min="14596" max="14596" width="20.85546875" style="2" customWidth="1"/>
    <col min="14597" max="14597" width="12.85546875" style="2" bestFit="1" customWidth="1"/>
    <col min="14598" max="14598" width="9.140625" style="2"/>
    <col min="14599" max="14599" width="19.85546875" style="2" customWidth="1"/>
    <col min="14600" max="14600" width="14.7109375" style="2" customWidth="1"/>
    <col min="14601" max="14601" width="34" style="2" bestFit="1" customWidth="1"/>
    <col min="14602" max="14602" width="4" style="2" customWidth="1"/>
    <col min="14603" max="14603" width="14.140625" style="2" customWidth="1"/>
    <col min="14604" max="14604" width="11.42578125" style="2" customWidth="1"/>
    <col min="14605" max="14607" width="9.28515625" style="2" bestFit="1" customWidth="1"/>
    <col min="14608" max="14848" width="9.140625" style="2"/>
    <col min="14849" max="14849" width="10.140625" style="2" bestFit="1" customWidth="1"/>
    <col min="14850" max="14851" width="9.140625" style="2"/>
    <col min="14852" max="14852" width="20.85546875" style="2" customWidth="1"/>
    <col min="14853" max="14853" width="12.85546875" style="2" bestFit="1" customWidth="1"/>
    <col min="14854" max="14854" width="9.140625" style="2"/>
    <col min="14855" max="14855" width="19.85546875" style="2" customWidth="1"/>
    <col min="14856" max="14856" width="14.7109375" style="2" customWidth="1"/>
    <col min="14857" max="14857" width="34" style="2" bestFit="1" customWidth="1"/>
    <col min="14858" max="14858" width="4" style="2" customWidth="1"/>
    <col min="14859" max="14859" width="14.140625" style="2" customWidth="1"/>
    <col min="14860" max="14860" width="11.42578125" style="2" customWidth="1"/>
    <col min="14861" max="14863" width="9.28515625" style="2" bestFit="1" customWidth="1"/>
    <col min="14864" max="15104" width="9.140625" style="2"/>
    <col min="15105" max="15105" width="10.140625" style="2" bestFit="1" customWidth="1"/>
    <col min="15106" max="15107" width="9.140625" style="2"/>
    <col min="15108" max="15108" width="20.85546875" style="2" customWidth="1"/>
    <col min="15109" max="15109" width="12.85546875" style="2" bestFit="1" customWidth="1"/>
    <col min="15110" max="15110" width="9.140625" style="2"/>
    <col min="15111" max="15111" width="19.85546875" style="2" customWidth="1"/>
    <col min="15112" max="15112" width="14.7109375" style="2" customWidth="1"/>
    <col min="15113" max="15113" width="34" style="2" bestFit="1" customWidth="1"/>
    <col min="15114" max="15114" width="4" style="2" customWidth="1"/>
    <col min="15115" max="15115" width="14.140625" style="2" customWidth="1"/>
    <col min="15116" max="15116" width="11.42578125" style="2" customWidth="1"/>
    <col min="15117" max="15119" width="9.28515625" style="2" bestFit="1" customWidth="1"/>
    <col min="15120" max="15360" width="9.140625" style="2"/>
    <col min="15361" max="15361" width="10.140625" style="2" bestFit="1" customWidth="1"/>
    <col min="15362" max="15363" width="9.140625" style="2"/>
    <col min="15364" max="15364" width="20.85546875" style="2" customWidth="1"/>
    <col min="15365" max="15365" width="12.85546875" style="2" bestFit="1" customWidth="1"/>
    <col min="15366" max="15366" width="9.140625" style="2"/>
    <col min="15367" max="15367" width="19.85546875" style="2" customWidth="1"/>
    <col min="15368" max="15368" width="14.7109375" style="2" customWidth="1"/>
    <col min="15369" max="15369" width="34" style="2" bestFit="1" customWidth="1"/>
    <col min="15370" max="15370" width="4" style="2" customWidth="1"/>
    <col min="15371" max="15371" width="14.140625" style="2" customWidth="1"/>
    <col min="15372" max="15372" width="11.42578125" style="2" customWidth="1"/>
    <col min="15373" max="15375" width="9.28515625" style="2" bestFit="1" customWidth="1"/>
    <col min="15376" max="15616" width="9.140625" style="2"/>
    <col min="15617" max="15617" width="10.140625" style="2" bestFit="1" customWidth="1"/>
    <col min="15618" max="15619" width="9.140625" style="2"/>
    <col min="15620" max="15620" width="20.85546875" style="2" customWidth="1"/>
    <col min="15621" max="15621" width="12.85546875" style="2" bestFit="1" customWidth="1"/>
    <col min="15622" max="15622" width="9.140625" style="2"/>
    <col min="15623" max="15623" width="19.85546875" style="2" customWidth="1"/>
    <col min="15624" max="15624" width="14.7109375" style="2" customWidth="1"/>
    <col min="15625" max="15625" width="34" style="2" bestFit="1" customWidth="1"/>
    <col min="15626" max="15626" width="4" style="2" customWidth="1"/>
    <col min="15627" max="15627" width="14.140625" style="2" customWidth="1"/>
    <col min="15628" max="15628" width="11.42578125" style="2" customWidth="1"/>
    <col min="15629" max="15631" width="9.28515625" style="2" bestFit="1" customWidth="1"/>
    <col min="15632" max="15872" width="9.140625" style="2"/>
    <col min="15873" max="15873" width="10.140625" style="2" bestFit="1" customWidth="1"/>
    <col min="15874" max="15875" width="9.140625" style="2"/>
    <col min="15876" max="15876" width="20.85546875" style="2" customWidth="1"/>
    <col min="15877" max="15877" width="12.85546875" style="2" bestFit="1" customWidth="1"/>
    <col min="15878" max="15878" width="9.140625" style="2"/>
    <col min="15879" max="15879" width="19.85546875" style="2" customWidth="1"/>
    <col min="15880" max="15880" width="14.7109375" style="2" customWidth="1"/>
    <col min="15881" max="15881" width="34" style="2" bestFit="1" customWidth="1"/>
    <col min="15882" max="15882" width="4" style="2" customWidth="1"/>
    <col min="15883" max="15883" width="14.140625" style="2" customWidth="1"/>
    <col min="15884" max="15884" width="11.42578125" style="2" customWidth="1"/>
    <col min="15885" max="15887" width="9.28515625" style="2" bestFit="1" customWidth="1"/>
    <col min="15888" max="16128" width="9.140625" style="2"/>
    <col min="16129" max="16129" width="10.140625" style="2" bestFit="1" customWidth="1"/>
    <col min="16130" max="16131" width="9.140625" style="2"/>
    <col min="16132" max="16132" width="20.85546875" style="2" customWidth="1"/>
    <col min="16133" max="16133" width="12.85546875" style="2" bestFit="1" customWidth="1"/>
    <col min="16134" max="16134" width="9.140625" style="2"/>
    <col min="16135" max="16135" width="19.85546875" style="2" customWidth="1"/>
    <col min="16136" max="16136" width="14.7109375" style="2" customWidth="1"/>
    <col min="16137" max="16137" width="34" style="2" bestFit="1" customWidth="1"/>
    <col min="16138" max="16138" width="4" style="2" customWidth="1"/>
    <col min="16139" max="16139" width="14.140625" style="2" customWidth="1"/>
    <col min="16140" max="16140" width="11.42578125" style="2" customWidth="1"/>
    <col min="16141" max="16143" width="9.28515625" style="2" bestFit="1" customWidth="1"/>
    <col min="16144" max="16384" width="9.140625" style="2"/>
  </cols>
  <sheetData>
    <row r="1" spans="1:9" ht="33.75" customHeight="1" thickBot="1" x14ac:dyDescent="0.3">
      <c r="A1" s="360" t="s">
        <v>158</v>
      </c>
      <c r="B1" s="361"/>
      <c r="C1" s="361"/>
      <c r="D1" s="361"/>
      <c r="E1" s="361"/>
      <c r="F1" s="361"/>
      <c r="G1" s="361"/>
      <c r="H1" s="361"/>
      <c r="I1" s="362"/>
    </row>
    <row r="2" spans="1:9" ht="8.1" customHeight="1" thickBot="1" x14ac:dyDescent="0.3">
      <c r="A2" s="312"/>
      <c r="B2" s="313"/>
      <c r="C2" s="313"/>
      <c r="D2" s="313"/>
      <c r="E2" s="313"/>
      <c r="F2" s="313"/>
      <c r="G2" s="313"/>
      <c r="H2" s="313"/>
      <c r="I2" s="314"/>
    </row>
    <row r="3" spans="1:9" ht="16.5" thickBot="1" x14ac:dyDescent="0.3">
      <c r="A3" s="299" t="s">
        <v>40</v>
      </c>
      <c r="B3" s="300"/>
      <c r="C3" s="300"/>
      <c r="D3" s="300"/>
      <c r="E3" s="300"/>
      <c r="F3" s="300"/>
      <c r="G3" s="300"/>
      <c r="H3" s="300"/>
      <c r="I3" s="301"/>
    </row>
    <row r="4" spans="1:9" x14ac:dyDescent="0.25">
      <c r="A4" s="3" t="s">
        <v>2</v>
      </c>
      <c r="B4" s="337" t="s">
        <v>41</v>
      </c>
      <c r="C4" s="338"/>
      <c r="D4" s="338"/>
      <c r="E4" s="338"/>
      <c r="F4" s="338"/>
      <c r="G4" s="338"/>
      <c r="H4" s="339"/>
      <c r="I4" s="4">
        <v>45597</v>
      </c>
    </row>
    <row r="5" spans="1:9" x14ac:dyDescent="0.25">
      <c r="A5" s="5" t="s">
        <v>3</v>
      </c>
      <c r="B5" s="302" t="s">
        <v>42</v>
      </c>
      <c r="C5" s="303"/>
      <c r="D5" s="303"/>
      <c r="E5" s="303"/>
      <c r="F5" s="303"/>
      <c r="G5" s="303"/>
      <c r="H5" s="304"/>
      <c r="I5" s="6" t="s">
        <v>304</v>
      </c>
    </row>
    <row r="6" spans="1:9" x14ac:dyDescent="0.25">
      <c r="A6" s="5" t="s">
        <v>5</v>
      </c>
      <c r="B6" s="324" t="s">
        <v>43</v>
      </c>
      <c r="C6" s="277"/>
      <c r="D6" s="277"/>
      <c r="E6" s="277"/>
      <c r="F6" s="277"/>
      <c r="G6" s="277"/>
      <c r="H6" s="278"/>
      <c r="I6" s="1" t="s">
        <v>345</v>
      </c>
    </row>
    <row r="7" spans="1:9" ht="16.5" thickBot="1" x14ac:dyDescent="0.3">
      <c r="A7" s="7" t="s">
        <v>6</v>
      </c>
      <c r="B7" s="334" t="s">
        <v>44</v>
      </c>
      <c r="C7" s="335"/>
      <c r="D7" s="335"/>
      <c r="E7" s="335"/>
      <c r="F7" s="335"/>
      <c r="G7" s="335"/>
      <c r="H7" s="336"/>
      <c r="I7" s="8">
        <v>12</v>
      </c>
    </row>
    <row r="8" spans="1:9" ht="7.5" customHeight="1" thickBot="1" x14ac:dyDescent="0.3">
      <c r="A8" s="312"/>
      <c r="B8" s="313"/>
      <c r="C8" s="313"/>
      <c r="D8" s="313"/>
      <c r="E8" s="313"/>
      <c r="F8" s="313"/>
      <c r="G8" s="313"/>
      <c r="H8" s="313"/>
      <c r="I8" s="314"/>
    </row>
    <row r="9" spans="1:9" ht="15.75" customHeight="1" thickBot="1" x14ac:dyDescent="0.3">
      <c r="A9" s="299" t="s">
        <v>45</v>
      </c>
      <c r="B9" s="300"/>
      <c r="C9" s="300"/>
      <c r="D9" s="300"/>
      <c r="E9" s="300"/>
      <c r="F9" s="300"/>
      <c r="G9" s="300"/>
      <c r="H9" s="300"/>
      <c r="I9" s="301"/>
    </row>
    <row r="10" spans="1:9" ht="27" customHeight="1" x14ac:dyDescent="0.25">
      <c r="A10" s="350" t="s">
        <v>32</v>
      </c>
      <c r="B10" s="351"/>
      <c r="C10" s="351"/>
      <c r="D10" s="351"/>
      <c r="E10" s="351"/>
      <c r="F10" s="347"/>
      <c r="G10" s="346" t="s">
        <v>33</v>
      </c>
      <c r="H10" s="347"/>
      <c r="I10" s="45" t="s">
        <v>46</v>
      </c>
    </row>
    <row r="11" spans="1:9" ht="48" customHeight="1" thickBot="1" x14ac:dyDescent="0.3">
      <c r="A11" s="352" t="s">
        <v>305</v>
      </c>
      <c r="B11" s="353"/>
      <c r="C11" s="353"/>
      <c r="D11" s="353"/>
      <c r="E11" s="353"/>
      <c r="F11" s="354"/>
      <c r="G11" s="348" t="s">
        <v>180</v>
      </c>
      <c r="H11" s="349"/>
      <c r="I11" s="44">
        <v>2</v>
      </c>
    </row>
    <row r="12" spans="1:9" ht="7.5" customHeight="1" thickBot="1" x14ac:dyDescent="0.3">
      <c r="A12" s="312"/>
      <c r="B12" s="313"/>
      <c r="C12" s="313"/>
      <c r="D12" s="313"/>
      <c r="E12" s="313"/>
      <c r="F12" s="313"/>
      <c r="G12" s="313"/>
      <c r="H12" s="313"/>
      <c r="I12" s="314"/>
    </row>
    <row r="13" spans="1:9" ht="15.75" customHeight="1" thickBot="1" x14ac:dyDescent="0.3">
      <c r="A13" s="299" t="s">
        <v>47</v>
      </c>
      <c r="B13" s="300"/>
      <c r="C13" s="300"/>
      <c r="D13" s="300"/>
      <c r="E13" s="300"/>
      <c r="F13" s="300"/>
      <c r="G13" s="300"/>
      <c r="H13" s="300"/>
      <c r="I13" s="301"/>
    </row>
    <row r="14" spans="1:9" ht="15.75" customHeight="1" thickBot="1" x14ac:dyDescent="0.3">
      <c r="A14" s="299" t="s">
        <v>34</v>
      </c>
      <c r="B14" s="300"/>
      <c r="C14" s="300"/>
      <c r="D14" s="300"/>
      <c r="E14" s="300"/>
      <c r="F14" s="300"/>
      <c r="G14" s="300"/>
      <c r="H14" s="300"/>
      <c r="I14" s="301"/>
    </row>
    <row r="15" spans="1:9" ht="16.5" thickBot="1" x14ac:dyDescent="0.3">
      <c r="A15" s="343" t="s">
        <v>35</v>
      </c>
      <c r="B15" s="344"/>
      <c r="C15" s="344"/>
      <c r="D15" s="344"/>
      <c r="E15" s="344"/>
      <c r="F15" s="344"/>
      <c r="G15" s="344"/>
      <c r="H15" s="344"/>
      <c r="I15" s="345"/>
    </row>
    <row r="16" spans="1:9" ht="16.5" thickBot="1" x14ac:dyDescent="0.3">
      <c r="A16" s="299" t="s">
        <v>48</v>
      </c>
      <c r="B16" s="300"/>
      <c r="C16" s="300"/>
      <c r="D16" s="300"/>
      <c r="E16" s="300"/>
      <c r="F16" s="300"/>
      <c r="G16" s="300"/>
      <c r="H16" s="300"/>
      <c r="I16" s="301"/>
    </row>
    <row r="17" spans="1:9" x14ac:dyDescent="0.25">
      <c r="A17" s="3">
        <v>1</v>
      </c>
      <c r="B17" s="337" t="s">
        <v>49</v>
      </c>
      <c r="C17" s="338"/>
      <c r="D17" s="338"/>
      <c r="E17" s="338"/>
      <c r="F17" s="338"/>
      <c r="G17" s="338"/>
      <c r="H17" s="339"/>
      <c r="I17" s="9" t="s">
        <v>193</v>
      </c>
    </row>
    <row r="18" spans="1:9" ht="15.75" customHeight="1" x14ac:dyDescent="0.25">
      <c r="A18" s="5">
        <v>2</v>
      </c>
      <c r="B18" s="324" t="s">
        <v>36</v>
      </c>
      <c r="C18" s="277"/>
      <c r="D18" s="277"/>
      <c r="E18" s="277"/>
      <c r="F18" s="277"/>
      <c r="G18" s="277"/>
      <c r="H18" s="278"/>
      <c r="I18" s="6" t="s">
        <v>232</v>
      </c>
    </row>
    <row r="19" spans="1:9" ht="15.75" customHeight="1" x14ac:dyDescent="0.25">
      <c r="A19" s="5">
        <v>3</v>
      </c>
      <c r="B19" s="324" t="s">
        <v>50</v>
      </c>
      <c r="C19" s="277"/>
      <c r="D19" s="277"/>
      <c r="E19" s="277"/>
      <c r="F19" s="277"/>
      <c r="G19" s="277"/>
      <c r="H19" s="278"/>
      <c r="I19" s="10">
        <v>1553.96</v>
      </c>
    </row>
    <row r="20" spans="1:9" ht="15.75" customHeight="1" x14ac:dyDescent="0.25">
      <c r="A20" s="5">
        <v>4</v>
      </c>
      <c r="B20" s="302" t="s">
        <v>51</v>
      </c>
      <c r="C20" s="303"/>
      <c r="D20" s="303"/>
      <c r="E20" s="303"/>
      <c r="F20" s="303"/>
      <c r="G20" s="303"/>
      <c r="H20" s="304"/>
      <c r="I20" s="1" t="s">
        <v>346</v>
      </c>
    </row>
    <row r="21" spans="1:9" ht="15.75" customHeight="1" thickBot="1" x14ac:dyDescent="0.3">
      <c r="A21" s="7">
        <v>5</v>
      </c>
      <c r="B21" s="334" t="s">
        <v>52</v>
      </c>
      <c r="C21" s="335"/>
      <c r="D21" s="335"/>
      <c r="E21" s="335"/>
      <c r="F21" s="335"/>
      <c r="G21" s="335"/>
      <c r="H21" s="336"/>
      <c r="I21" s="11">
        <v>45292</v>
      </c>
    </row>
    <row r="22" spans="1:9" ht="53.25" customHeight="1" thickBot="1" x14ac:dyDescent="0.3">
      <c r="A22" s="340" t="s">
        <v>137</v>
      </c>
      <c r="B22" s="341"/>
      <c r="C22" s="341"/>
      <c r="D22" s="341"/>
      <c r="E22" s="341"/>
      <c r="F22" s="341"/>
      <c r="G22" s="341"/>
      <c r="H22" s="341"/>
      <c r="I22" s="342"/>
    </row>
    <row r="23" spans="1:9" ht="16.5" thickBot="1" x14ac:dyDescent="0.3">
      <c r="A23" s="299" t="s">
        <v>53</v>
      </c>
      <c r="B23" s="300"/>
      <c r="C23" s="300"/>
      <c r="D23" s="300"/>
      <c r="E23" s="300"/>
      <c r="F23" s="300"/>
      <c r="G23" s="300"/>
      <c r="H23" s="300"/>
      <c r="I23" s="301"/>
    </row>
    <row r="24" spans="1:9" x14ac:dyDescent="0.25">
      <c r="A24" s="63">
        <v>1</v>
      </c>
      <c r="B24" s="290" t="s">
        <v>54</v>
      </c>
      <c r="C24" s="291"/>
      <c r="D24" s="291"/>
      <c r="E24" s="291"/>
      <c r="F24" s="291"/>
      <c r="G24" s="292"/>
      <c r="H24" s="62" t="s">
        <v>55</v>
      </c>
      <c r="I24" s="12" t="s">
        <v>56</v>
      </c>
    </row>
    <row r="25" spans="1:9" x14ac:dyDescent="0.25">
      <c r="A25" s="13" t="s">
        <v>2</v>
      </c>
      <c r="B25" s="324" t="s">
        <v>57</v>
      </c>
      <c r="C25" s="277"/>
      <c r="D25" s="277"/>
      <c r="E25" s="277"/>
      <c r="F25" s="277"/>
      <c r="G25" s="278"/>
      <c r="H25" s="65"/>
      <c r="I25" s="14">
        <f>I19</f>
        <v>1553.96</v>
      </c>
    </row>
    <row r="26" spans="1:9" x14ac:dyDescent="0.25">
      <c r="A26" s="13" t="s">
        <v>3</v>
      </c>
      <c r="B26" s="324" t="s">
        <v>58</v>
      </c>
      <c r="C26" s="277"/>
      <c r="D26" s="277"/>
      <c r="E26" s="277"/>
      <c r="F26" s="277"/>
      <c r="G26" s="278"/>
      <c r="H26" s="15"/>
      <c r="I26" s="14">
        <f>H26*G26</f>
        <v>0</v>
      </c>
    </row>
    <row r="27" spans="1:9" x14ac:dyDescent="0.25">
      <c r="A27" s="13" t="s">
        <v>5</v>
      </c>
      <c r="B27" s="324" t="s">
        <v>4</v>
      </c>
      <c r="C27" s="277"/>
      <c r="D27" s="277"/>
      <c r="E27" s="277"/>
      <c r="F27" s="277"/>
      <c r="G27" s="278"/>
      <c r="H27" s="15">
        <v>0.3</v>
      </c>
      <c r="I27" s="14">
        <f>H27*I25</f>
        <v>466.18799999999999</v>
      </c>
    </row>
    <row r="28" spans="1:9" x14ac:dyDescent="0.25">
      <c r="A28" s="13" t="s">
        <v>6</v>
      </c>
      <c r="B28" s="324" t="s">
        <v>59</v>
      </c>
      <c r="C28" s="277"/>
      <c r="D28" s="277"/>
      <c r="E28" s="277"/>
      <c r="F28" s="277"/>
      <c r="G28" s="278"/>
      <c r="H28" s="16"/>
      <c r="I28" s="14">
        <f t="shared" ref="I28:I29" si="0">H28*I26</f>
        <v>0</v>
      </c>
    </row>
    <row r="29" spans="1:9" x14ac:dyDescent="0.25">
      <c r="A29" s="13" t="s">
        <v>7</v>
      </c>
      <c r="B29" s="324" t="s">
        <v>60</v>
      </c>
      <c r="C29" s="277"/>
      <c r="D29" s="277"/>
      <c r="E29" s="277"/>
      <c r="F29" s="277"/>
      <c r="G29" s="278"/>
      <c r="H29" s="61"/>
      <c r="I29" s="14">
        <f t="shared" si="0"/>
        <v>0</v>
      </c>
    </row>
    <row r="30" spans="1:9" x14ac:dyDescent="0.25">
      <c r="A30" s="13" t="s">
        <v>8</v>
      </c>
      <c r="B30" s="324" t="s">
        <v>342</v>
      </c>
      <c r="C30" s="277"/>
      <c r="D30" s="277"/>
      <c r="E30" s="277"/>
      <c r="F30" s="277"/>
      <c r="G30" s="278"/>
      <c r="H30" s="15"/>
      <c r="I30" s="14">
        <f>H30*I25</f>
        <v>0</v>
      </c>
    </row>
    <row r="31" spans="1:9" ht="16.5" thickBot="1" x14ac:dyDescent="0.3">
      <c r="A31" s="287" t="s">
        <v>61</v>
      </c>
      <c r="B31" s="288"/>
      <c r="C31" s="288"/>
      <c r="D31" s="288"/>
      <c r="E31" s="288"/>
      <c r="F31" s="288"/>
      <c r="G31" s="288"/>
      <c r="H31" s="289"/>
      <c r="I31" s="17">
        <f>ROUND(SUM(I25:I30),2)</f>
        <v>2020.15</v>
      </c>
    </row>
    <row r="32" spans="1:9" ht="7.5" customHeight="1" thickBot="1" x14ac:dyDescent="0.3">
      <c r="A32" s="296"/>
      <c r="B32" s="297"/>
      <c r="C32" s="297"/>
      <c r="D32" s="297"/>
      <c r="E32" s="297"/>
      <c r="F32" s="297"/>
      <c r="G32" s="297"/>
      <c r="H32" s="297"/>
      <c r="I32" s="298"/>
    </row>
    <row r="33" spans="1:12" ht="16.5" thickBot="1" x14ac:dyDescent="0.3">
      <c r="A33" s="299" t="s">
        <v>62</v>
      </c>
      <c r="B33" s="300"/>
      <c r="C33" s="300"/>
      <c r="D33" s="300"/>
      <c r="E33" s="300"/>
      <c r="F33" s="300"/>
      <c r="G33" s="300"/>
      <c r="H33" s="300"/>
      <c r="I33" s="301"/>
    </row>
    <row r="34" spans="1:12" x14ac:dyDescent="0.25">
      <c r="A34" s="311" t="s">
        <v>63</v>
      </c>
      <c r="B34" s="291"/>
      <c r="C34" s="291"/>
      <c r="D34" s="291"/>
      <c r="E34" s="291"/>
      <c r="F34" s="291"/>
      <c r="G34" s="292"/>
      <c r="H34" s="62" t="s">
        <v>55</v>
      </c>
      <c r="I34" s="12" t="s">
        <v>56</v>
      </c>
    </row>
    <row r="35" spans="1:12" ht="35.25" customHeight="1" x14ac:dyDescent="0.25">
      <c r="A35" s="13" t="s">
        <v>2</v>
      </c>
      <c r="B35" s="357" t="s">
        <v>138</v>
      </c>
      <c r="C35" s="358"/>
      <c r="D35" s="358"/>
      <c r="E35" s="358"/>
      <c r="F35" s="358"/>
      <c r="G35" s="359"/>
      <c r="H35" s="18">
        <f>((1/12)*100%)</f>
        <v>8.3333333333333329E-2</v>
      </c>
      <c r="I35" s="14">
        <f>ROUND(($I$31*H35),2)</f>
        <v>168.35</v>
      </c>
    </row>
    <row r="36" spans="1:12" ht="79.5" customHeight="1" x14ac:dyDescent="0.25">
      <c r="A36" s="13" t="s">
        <v>3</v>
      </c>
      <c r="B36" s="357" t="s">
        <v>156</v>
      </c>
      <c r="C36" s="358"/>
      <c r="D36" s="358"/>
      <c r="E36" s="358"/>
      <c r="F36" s="358"/>
      <c r="G36" s="359"/>
      <c r="H36" s="18">
        <v>0.121</v>
      </c>
      <c r="I36" s="14">
        <f>ROUND(($I$31*H36),2)</f>
        <v>244.44</v>
      </c>
      <c r="J36" s="19"/>
      <c r="K36" s="20"/>
    </row>
    <row r="37" spans="1:12" ht="16.5" thickBot="1" x14ac:dyDescent="0.3">
      <c r="A37" s="287" t="s">
        <v>64</v>
      </c>
      <c r="B37" s="288"/>
      <c r="C37" s="288"/>
      <c r="D37" s="288"/>
      <c r="E37" s="288"/>
      <c r="F37" s="288"/>
      <c r="G37" s="289"/>
      <c r="H37" s="21">
        <f>SUM(H35:H36)</f>
        <v>0.20433333333333331</v>
      </c>
      <c r="I37" s="17">
        <f>SUM(I35:I36)</f>
        <v>412.78999999999996</v>
      </c>
      <c r="K37" s="23"/>
      <c r="L37" s="23"/>
    </row>
    <row r="38" spans="1:12" ht="84" customHeight="1" thickBot="1" x14ac:dyDescent="0.3">
      <c r="A38" s="308" t="s">
        <v>139</v>
      </c>
      <c r="B38" s="355"/>
      <c r="C38" s="355"/>
      <c r="D38" s="355"/>
      <c r="E38" s="355"/>
      <c r="F38" s="355"/>
      <c r="G38" s="355"/>
      <c r="H38" s="355"/>
      <c r="I38" s="356"/>
    </row>
    <row r="39" spans="1:12" ht="15.75" customHeight="1" x14ac:dyDescent="0.25">
      <c r="A39" s="311" t="s">
        <v>65</v>
      </c>
      <c r="B39" s="291"/>
      <c r="C39" s="291"/>
      <c r="D39" s="291"/>
      <c r="E39" s="291"/>
      <c r="F39" s="291"/>
      <c r="G39" s="292"/>
      <c r="H39" s="64" t="s">
        <v>55</v>
      </c>
      <c r="I39" s="22" t="s">
        <v>56</v>
      </c>
    </row>
    <row r="40" spans="1:12" x14ac:dyDescent="0.25">
      <c r="A40" s="13" t="s">
        <v>2</v>
      </c>
      <c r="B40" s="324" t="s">
        <v>66</v>
      </c>
      <c r="C40" s="277"/>
      <c r="D40" s="277"/>
      <c r="E40" s="277"/>
      <c r="F40" s="277"/>
      <c r="G40" s="278"/>
      <c r="H40" s="18">
        <v>0.2</v>
      </c>
      <c r="I40" s="14">
        <f>ROUND((($I$31+$I$37)*H40),2)</f>
        <v>486.59</v>
      </c>
    </row>
    <row r="41" spans="1:12" ht="15.75" customHeight="1" x14ac:dyDescent="0.25">
      <c r="A41" s="13" t="s">
        <v>3</v>
      </c>
      <c r="B41" s="324" t="s">
        <v>67</v>
      </c>
      <c r="C41" s="277"/>
      <c r="D41" s="277"/>
      <c r="E41" s="277"/>
      <c r="F41" s="277"/>
      <c r="G41" s="278"/>
      <c r="H41" s="18">
        <v>2.5000000000000001E-2</v>
      </c>
      <c r="I41" s="14">
        <f t="shared" ref="I41:I47" si="1">ROUND((($I$31+$I$37)*H41),2)</f>
        <v>60.82</v>
      </c>
    </row>
    <row r="42" spans="1:12" ht="33" customHeight="1" x14ac:dyDescent="0.25">
      <c r="A42" s="13" t="s">
        <v>5</v>
      </c>
      <c r="B42" s="357" t="s">
        <v>140</v>
      </c>
      <c r="C42" s="358"/>
      <c r="D42" s="358"/>
      <c r="E42" s="358"/>
      <c r="F42" s="358"/>
      <c r="G42" s="359"/>
      <c r="H42" s="18">
        <v>0.03</v>
      </c>
      <c r="I42" s="14">
        <f t="shared" si="1"/>
        <v>72.989999999999995</v>
      </c>
    </row>
    <row r="43" spans="1:12" x14ac:dyDescent="0.25">
      <c r="A43" s="13" t="s">
        <v>6</v>
      </c>
      <c r="B43" s="324" t="s">
        <v>12</v>
      </c>
      <c r="C43" s="277"/>
      <c r="D43" s="277"/>
      <c r="E43" s="277"/>
      <c r="F43" s="277"/>
      <c r="G43" s="278"/>
      <c r="H43" s="18">
        <v>1.4999999999999999E-2</v>
      </c>
      <c r="I43" s="14">
        <f t="shared" si="1"/>
        <v>36.49</v>
      </c>
    </row>
    <row r="44" spans="1:12" x14ac:dyDescent="0.25">
      <c r="A44" s="13" t="s">
        <v>7</v>
      </c>
      <c r="B44" s="324" t="s">
        <v>68</v>
      </c>
      <c r="C44" s="277"/>
      <c r="D44" s="277"/>
      <c r="E44" s="277"/>
      <c r="F44" s="277"/>
      <c r="G44" s="278"/>
      <c r="H44" s="18">
        <v>0.01</v>
      </c>
      <c r="I44" s="14">
        <f t="shared" si="1"/>
        <v>24.33</v>
      </c>
    </row>
    <row r="45" spans="1:12" x14ac:dyDescent="0.25">
      <c r="A45" s="13" t="s">
        <v>8</v>
      </c>
      <c r="B45" s="324" t="s">
        <v>69</v>
      </c>
      <c r="C45" s="277"/>
      <c r="D45" s="277"/>
      <c r="E45" s="277"/>
      <c r="F45" s="277"/>
      <c r="G45" s="278"/>
      <c r="H45" s="18">
        <v>6.0000000000000001E-3</v>
      </c>
      <c r="I45" s="14">
        <f t="shared" si="1"/>
        <v>14.6</v>
      </c>
    </row>
    <row r="46" spans="1:12" x14ac:dyDescent="0.25">
      <c r="A46" s="13" t="s">
        <v>9</v>
      </c>
      <c r="B46" s="324" t="s">
        <v>70</v>
      </c>
      <c r="C46" s="277"/>
      <c r="D46" s="277"/>
      <c r="E46" s="277"/>
      <c r="F46" s="277"/>
      <c r="G46" s="278"/>
      <c r="H46" s="18">
        <v>2E-3</v>
      </c>
      <c r="I46" s="14">
        <f t="shared" si="1"/>
        <v>4.87</v>
      </c>
    </row>
    <row r="47" spans="1:12" ht="15.75" customHeight="1" x14ac:dyDescent="0.25">
      <c r="A47" s="13" t="s">
        <v>13</v>
      </c>
      <c r="B47" s="324" t="s">
        <v>71</v>
      </c>
      <c r="C47" s="277"/>
      <c r="D47" s="277"/>
      <c r="E47" s="277"/>
      <c r="F47" s="277"/>
      <c r="G47" s="278"/>
      <c r="H47" s="18">
        <v>0.08</v>
      </c>
      <c r="I47" s="14">
        <f t="shared" si="1"/>
        <v>194.64</v>
      </c>
    </row>
    <row r="48" spans="1:12" ht="16.5" thickBot="1" x14ac:dyDescent="0.3">
      <c r="A48" s="287" t="s">
        <v>72</v>
      </c>
      <c r="B48" s="288"/>
      <c r="C48" s="288"/>
      <c r="D48" s="288"/>
      <c r="E48" s="288"/>
      <c r="F48" s="288"/>
      <c r="G48" s="289"/>
      <c r="H48" s="21">
        <f>SUM(H40:H47)</f>
        <v>0.36800000000000005</v>
      </c>
      <c r="I48" s="17">
        <f>SUM(I40:I47)</f>
        <v>895.33</v>
      </c>
      <c r="J48" s="23"/>
    </row>
    <row r="49" spans="1:11" ht="46.5" customHeight="1" thickBot="1" x14ac:dyDescent="0.3">
      <c r="A49" s="308" t="s">
        <v>141</v>
      </c>
      <c r="B49" s="332"/>
      <c r="C49" s="332"/>
      <c r="D49" s="332"/>
      <c r="E49" s="332"/>
      <c r="F49" s="332"/>
      <c r="G49" s="332"/>
      <c r="H49" s="332"/>
      <c r="I49" s="333"/>
    </row>
    <row r="50" spans="1:11" x14ac:dyDescent="0.25">
      <c r="A50" s="311" t="s">
        <v>73</v>
      </c>
      <c r="B50" s="291"/>
      <c r="C50" s="291"/>
      <c r="D50" s="291"/>
      <c r="E50" s="291"/>
      <c r="F50" s="291"/>
      <c r="G50" s="292"/>
      <c r="H50" s="24"/>
      <c r="I50" s="22" t="s">
        <v>56</v>
      </c>
    </row>
    <row r="51" spans="1:11" x14ac:dyDescent="0.25">
      <c r="A51" s="13" t="s">
        <v>2</v>
      </c>
      <c r="B51" s="321" t="s">
        <v>307</v>
      </c>
      <c r="C51" s="322"/>
      <c r="D51" s="322"/>
      <c r="E51" s="322"/>
      <c r="F51" s="322"/>
      <c r="G51" s="323"/>
      <c r="H51" s="16" t="s">
        <v>74</v>
      </c>
      <c r="I51" s="14">
        <f>'Transporte (PHB)'!D11</f>
        <v>241.16239999999999</v>
      </c>
    </row>
    <row r="52" spans="1:11" x14ac:dyDescent="0.25">
      <c r="A52" s="13" t="s">
        <v>3</v>
      </c>
      <c r="B52" s="321" t="s">
        <v>308</v>
      </c>
      <c r="C52" s="322"/>
      <c r="D52" s="322"/>
      <c r="E52" s="322"/>
      <c r="F52" s="322"/>
      <c r="G52" s="323"/>
      <c r="H52" s="25">
        <v>20.04</v>
      </c>
      <c r="I52" s="14">
        <v>473.82</v>
      </c>
    </row>
    <row r="53" spans="1:11" x14ac:dyDescent="0.25">
      <c r="A53" s="13" t="s">
        <v>5</v>
      </c>
      <c r="B53" s="324" t="s">
        <v>230</v>
      </c>
      <c r="C53" s="277"/>
      <c r="D53" s="277"/>
      <c r="E53" s="277"/>
      <c r="F53" s="277"/>
      <c r="G53" s="278"/>
      <c r="H53" s="25"/>
      <c r="I53" s="149">
        <v>104.89</v>
      </c>
    </row>
    <row r="54" spans="1:11" x14ac:dyDescent="0.25">
      <c r="A54" s="13" t="s">
        <v>6</v>
      </c>
      <c r="B54" s="321" t="s">
        <v>306</v>
      </c>
      <c r="C54" s="322"/>
      <c r="D54" s="322"/>
      <c r="E54" s="322"/>
      <c r="F54" s="322"/>
      <c r="G54" s="323"/>
      <c r="H54" s="16" t="s">
        <v>74</v>
      </c>
      <c r="I54" s="149">
        <v>4.4400000000000004</v>
      </c>
      <c r="K54" s="23"/>
    </row>
    <row r="55" spans="1:11" ht="16.5" thickBot="1" x14ac:dyDescent="0.3">
      <c r="A55" s="287" t="s">
        <v>75</v>
      </c>
      <c r="B55" s="288"/>
      <c r="C55" s="288"/>
      <c r="D55" s="288"/>
      <c r="E55" s="288"/>
      <c r="F55" s="288"/>
      <c r="G55" s="288"/>
      <c r="H55" s="289"/>
      <c r="I55" s="17">
        <f>SUM(I51:I54)</f>
        <v>824.31240000000003</v>
      </c>
    </row>
    <row r="56" spans="1:11" ht="70.5" customHeight="1" thickBot="1" x14ac:dyDescent="0.3">
      <c r="A56" s="308" t="s">
        <v>176</v>
      </c>
      <c r="B56" s="330"/>
      <c r="C56" s="330"/>
      <c r="D56" s="330"/>
      <c r="E56" s="330"/>
      <c r="F56" s="330"/>
      <c r="G56" s="330"/>
      <c r="H56" s="330"/>
      <c r="I56" s="331"/>
    </row>
    <row r="57" spans="1:11" ht="16.5" thickBot="1" x14ac:dyDescent="0.3">
      <c r="A57" s="299" t="s">
        <v>76</v>
      </c>
      <c r="B57" s="300"/>
      <c r="C57" s="300"/>
      <c r="D57" s="300"/>
      <c r="E57" s="300"/>
      <c r="F57" s="300"/>
      <c r="G57" s="300"/>
      <c r="H57" s="300"/>
      <c r="I57" s="301"/>
    </row>
    <row r="58" spans="1:11" x14ac:dyDescent="0.25">
      <c r="A58" s="311" t="s">
        <v>77</v>
      </c>
      <c r="B58" s="291"/>
      <c r="C58" s="291"/>
      <c r="D58" s="291"/>
      <c r="E58" s="291"/>
      <c r="F58" s="291"/>
      <c r="G58" s="291"/>
      <c r="H58" s="292"/>
      <c r="I58" s="12" t="s">
        <v>56</v>
      </c>
    </row>
    <row r="59" spans="1:11" x14ac:dyDescent="0.25">
      <c r="A59" s="13" t="s">
        <v>10</v>
      </c>
      <c r="B59" s="324" t="s">
        <v>78</v>
      </c>
      <c r="C59" s="277"/>
      <c r="D59" s="277"/>
      <c r="E59" s="277"/>
      <c r="F59" s="277"/>
      <c r="G59" s="277"/>
      <c r="H59" s="278"/>
      <c r="I59" s="14">
        <f>I37</f>
        <v>412.78999999999996</v>
      </c>
    </row>
    <row r="60" spans="1:11" x14ac:dyDescent="0.25">
      <c r="A60" s="13" t="s">
        <v>11</v>
      </c>
      <c r="B60" s="324" t="s">
        <v>79</v>
      </c>
      <c r="C60" s="277"/>
      <c r="D60" s="277"/>
      <c r="E60" s="277"/>
      <c r="F60" s="277"/>
      <c r="G60" s="277"/>
      <c r="H60" s="278"/>
      <c r="I60" s="14">
        <f>I48</f>
        <v>895.33</v>
      </c>
    </row>
    <row r="61" spans="1:11" x14ac:dyDescent="0.25">
      <c r="A61" s="13" t="s">
        <v>14</v>
      </c>
      <c r="B61" s="324" t="s">
        <v>15</v>
      </c>
      <c r="C61" s="277"/>
      <c r="D61" s="277"/>
      <c r="E61" s="277"/>
      <c r="F61" s="277"/>
      <c r="G61" s="277"/>
      <c r="H61" s="278"/>
      <c r="I61" s="14">
        <f>I55</f>
        <v>824.31240000000003</v>
      </c>
    </row>
    <row r="62" spans="1:11" ht="16.5" thickBot="1" x14ac:dyDescent="0.3">
      <c r="A62" s="287" t="s">
        <v>80</v>
      </c>
      <c r="B62" s="288"/>
      <c r="C62" s="288"/>
      <c r="D62" s="288"/>
      <c r="E62" s="288"/>
      <c r="F62" s="288"/>
      <c r="G62" s="288"/>
      <c r="H62" s="289"/>
      <c r="I62" s="17">
        <f>TRUNC(SUM(I59:I61),2)</f>
        <v>2132.4299999999998</v>
      </c>
    </row>
    <row r="63" spans="1:11" ht="15" customHeight="1" thickBot="1" x14ac:dyDescent="0.3">
      <c r="A63" s="296"/>
      <c r="B63" s="297"/>
      <c r="C63" s="297"/>
      <c r="D63" s="297"/>
      <c r="E63" s="297"/>
      <c r="F63" s="297"/>
      <c r="G63" s="297"/>
      <c r="H63" s="297"/>
      <c r="I63" s="298"/>
    </row>
    <row r="64" spans="1:11" ht="16.5" thickBot="1" x14ac:dyDescent="0.3">
      <c r="A64" s="299" t="s">
        <v>81</v>
      </c>
      <c r="B64" s="300"/>
      <c r="C64" s="300"/>
      <c r="D64" s="300"/>
      <c r="E64" s="300"/>
      <c r="F64" s="300"/>
      <c r="G64" s="300"/>
      <c r="H64" s="300"/>
      <c r="I64" s="301"/>
    </row>
    <row r="65" spans="1:10" x14ac:dyDescent="0.25">
      <c r="A65" s="63">
        <v>3</v>
      </c>
      <c r="B65" s="290" t="s">
        <v>82</v>
      </c>
      <c r="C65" s="291"/>
      <c r="D65" s="291"/>
      <c r="E65" s="291"/>
      <c r="F65" s="291"/>
      <c r="G65" s="292"/>
      <c r="H65" s="62" t="s">
        <v>55</v>
      </c>
      <c r="I65" s="12" t="s">
        <v>56</v>
      </c>
    </row>
    <row r="66" spans="1:10" ht="70.5" customHeight="1" x14ac:dyDescent="0.25">
      <c r="A66" s="13" t="s">
        <v>2</v>
      </c>
      <c r="B66" s="282" t="s">
        <v>142</v>
      </c>
      <c r="C66" s="283"/>
      <c r="D66" s="283"/>
      <c r="E66" s="283"/>
      <c r="F66" s="283"/>
      <c r="G66" s="284"/>
      <c r="H66" s="18">
        <f>(((1/12)*0.05)*100%)</f>
        <v>4.1666666666666666E-3</v>
      </c>
      <c r="I66" s="14">
        <f>ROUND((I$31*$H$66),2)</f>
        <v>8.42</v>
      </c>
      <c r="J66" s="26"/>
    </row>
    <row r="67" spans="1:10" x14ac:dyDescent="0.25">
      <c r="A67" s="13" t="s">
        <v>3</v>
      </c>
      <c r="B67" s="324" t="s">
        <v>16</v>
      </c>
      <c r="C67" s="277"/>
      <c r="D67" s="277"/>
      <c r="E67" s="277"/>
      <c r="F67" s="277"/>
      <c r="G67" s="278"/>
      <c r="H67" s="18">
        <f>H47*H66</f>
        <v>3.3333333333333332E-4</v>
      </c>
      <c r="I67" s="14">
        <f>ROUND((I$31*$H$67),2)</f>
        <v>0.67</v>
      </c>
    </row>
    <row r="68" spans="1:10" ht="72.75" customHeight="1" x14ac:dyDescent="0.25">
      <c r="A68" s="13" t="s">
        <v>5</v>
      </c>
      <c r="B68" s="282" t="s">
        <v>143</v>
      </c>
      <c r="C68" s="283"/>
      <c r="D68" s="283"/>
      <c r="E68" s="283"/>
      <c r="F68" s="283"/>
      <c r="G68" s="284"/>
      <c r="H68" s="18">
        <f>(((100%/30)*7)/12)</f>
        <v>1.9444444444444445E-2</v>
      </c>
      <c r="I68" s="14">
        <f>ROUND((I$31*$H$68),2)</f>
        <v>39.28</v>
      </c>
      <c r="J68" s="19"/>
    </row>
    <row r="69" spans="1:10" x14ac:dyDescent="0.25">
      <c r="A69" s="13" t="s">
        <v>6</v>
      </c>
      <c r="B69" s="324" t="s">
        <v>83</v>
      </c>
      <c r="C69" s="277"/>
      <c r="D69" s="277"/>
      <c r="E69" s="277"/>
      <c r="F69" s="277"/>
      <c r="G69" s="278"/>
      <c r="H69" s="18">
        <f>H68*H48</f>
        <v>7.1555555555555565E-3</v>
      </c>
      <c r="I69" s="14">
        <f>ROUND((I$31*$H$69),2)</f>
        <v>14.46</v>
      </c>
    </row>
    <row r="70" spans="1:10" ht="54" customHeight="1" x14ac:dyDescent="0.25">
      <c r="A70" s="13" t="s">
        <v>7</v>
      </c>
      <c r="B70" s="282" t="s">
        <v>144</v>
      </c>
      <c r="C70" s="283"/>
      <c r="D70" s="283"/>
      <c r="E70" s="283"/>
      <c r="F70" s="283"/>
      <c r="G70" s="284"/>
      <c r="H70" s="18">
        <v>0.04</v>
      </c>
      <c r="I70" s="14">
        <f>ROUND((I$31*$H$70),2)</f>
        <v>80.81</v>
      </c>
    </row>
    <row r="71" spans="1:10" ht="16.5" thickBot="1" x14ac:dyDescent="0.3">
      <c r="A71" s="287" t="s">
        <v>84</v>
      </c>
      <c r="B71" s="288"/>
      <c r="C71" s="288"/>
      <c r="D71" s="288"/>
      <c r="E71" s="288"/>
      <c r="F71" s="288"/>
      <c r="G71" s="289"/>
      <c r="H71" s="21">
        <f>TRUNC(SUM(H66:H70),4)</f>
        <v>7.1099999999999997E-2</v>
      </c>
      <c r="I71" s="17">
        <f>SUM(I66:I70)</f>
        <v>143.64000000000001</v>
      </c>
    </row>
    <row r="72" spans="1:10" ht="17.25" customHeight="1" thickBot="1" x14ac:dyDescent="0.3">
      <c r="A72" s="296"/>
      <c r="B72" s="297"/>
      <c r="C72" s="297"/>
      <c r="D72" s="297"/>
      <c r="E72" s="297"/>
      <c r="F72" s="297"/>
      <c r="G72" s="297"/>
      <c r="H72" s="297"/>
      <c r="I72" s="298"/>
    </row>
    <row r="73" spans="1:10" ht="16.5" thickBot="1" x14ac:dyDescent="0.3">
      <c r="A73" s="299" t="s">
        <v>85</v>
      </c>
      <c r="B73" s="300"/>
      <c r="C73" s="300"/>
      <c r="D73" s="300"/>
      <c r="E73" s="300"/>
      <c r="F73" s="300"/>
      <c r="G73" s="300"/>
      <c r="H73" s="300"/>
      <c r="I73" s="301"/>
    </row>
    <row r="74" spans="1:10" ht="36" customHeight="1" thickBot="1" x14ac:dyDescent="0.3">
      <c r="A74" s="308" t="s">
        <v>131</v>
      </c>
      <c r="B74" s="363"/>
      <c r="C74" s="363"/>
      <c r="D74" s="363"/>
      <c r="E74" s="363"/>
      <c r="F74" s="363"/>
      <c r="G74" s="363"/>
      <c r="H74" s="363"/>
      <c r="I74" s="364"/>
    </row>
    <row r="75" spans="1:10" ht="36" customHeight="1" thickBot="1" x14ac:dyDescent="0.3">
      <c r="A75" s="365" t="s">
        <v>145</v>
      </c>
      <c r="B75" s="366"/>
      <c r="C75" s="366"/>
      <c r="D75" s="366"/>
      <c r="E75" s="366"/>
      <c r="F75" s="366"/>
      <c r="G75" s="366"/>
      <c r="H75" s="366"/>
      <c r="I75" s="367"/>
    </row>
    <row r="76" spans="1:10" ht="45.75" customHeight="1" thickBot="1" x14ac:dyDescent="0.3">
      <c r="A76" s="67" t="s">
        <v>132</v>
      </c>
      <c r="B76" s="69">
        <f>I31</f>
        <v>2020.15</v>
      </c>
      <c r="C76" s="68" t="s">
        <v>146</v>
      </c>
      <c r="D76" s="69">
        <f>I62-(I51+I52)</f>
        <v>1417.4476</v>
      </c>
      <c r="E76" s="67" t="s">
        <v>147</v>
      </c>
      <c r="F76" s="70">
        <f>I71</f>
        <v>143.64000000000001</v>
      </c>
      <c r="G76" s="368" t="s">
        <v>148</v>
      </c>
      <c r="H76" s="369"/>
      <c r="I76" s="71">
        <f>B76+D76+F76</f>
        <v>3581.2375999999999</v>
      </c>
    </row>
    <row r="77" spans="1:10" x14ac:dyDescent="0.25">
      <c r="A77" s="325" t="s">
        <v>18</v>
      </c>
      <c r="B77" s="326"/>
      <c r="C77" s="326"/>
      <c r="D77" s="326"/>
      <c r="E77" s="326"/>
      <c r="F77" s="326"/>
      <c r="G77" s="327"/>
      <c r="H77" s="62" t="s">
        <v>55</v>
      </c>
      <c r="I77" s="12" t="s">
        <v>56</v>
      </c>
    </row>
    <row r="78" spans="1:10" ht="100.5" customHeight="1" x14ac:dyDescent="0.25">
      <c r="A78" s="13" t="s">
        <v>2</v>
      </c>
      <c r="B78" s="282" t="s">
        <v>154</v>
      </c>
      <c r="C78" s="328"/>
      <c r="D78" s="328"/>
      <c r="E78" s="328"/>
      <c r="F78" s="328"/>
      <c r="G78" s="329"/>
      <c r="H78" s="72">
        <v>9.0749999999999997E-2</v>
      </c>
      <c r="I78" s="14">
        <f>ROUND((I76*H78),2)</f>
        <v>325</v>
      </c>
    </row>
    <row r="79" spans="1:10" x14ac:dyDescent="0.25">
      <c r="A79" s="13" t="s">
        <v>3</v>
      </c>
      <c r="B79" s="324" t="s">
        <v>149</v>
      </c>
      <c r="C79" s="277"/>
      <c r="D79" s="277"/>
      <c r="E79" s="277"/>
      <c r="F79" s="277"/>
      <c r="G79" s="278"/>
      <c r="H79" s="27">
        <v>2.8E-3</v>
      </c>
      <c r="I79" s="14">
        <f>ROUND((I76*H79),2)</f>
        <v>10.029999999999999</v>
      </c>
    </row>
    <row r="80" spans="1:10" ht="35.25" customHeight="1" x14ac:dyDescent="0.25">
      <c r="A80" s="13" t="s">
        <v>5</v>
      </c>
      <c r="B80" s="282" t="s">
        <v>150</v>
      </c>
      <c r="C80" s="283"/>
      <c r="D80" s="283"/>
      <c r="E80" s="283"/>
      <c r="F80" s="283"/>
      <c r="G80" s="284"/>
      <c r="H80" s="27">
        <v>2.0799999999999999E-4</v>
      </c>
      <c r="I80" s="14">
        <f>ROUND((I76*H80),2)</f>
        <v>0.74</v>
      </c>
    </row>
    <row r="81" spans="1:9" ht="36" customHeight="1" x14ac:dyDescent="0.25">
      <c r="A81" s="13" t="s">
        <v>6</v>
      </c>
      <c r="B81" s="282" t="s">
        <v>151</v>
      </c>
      <c r="C81" s="283"/>
      <c r="D81" s="283"/>
      <c r="E81" s="283"/>
      <c r="F81" s="283"/>
      <c r="G81" s="284"/>
      <c r="H81" s="27">
        <v>2.7000000000000001E-3</v>
      </c>
      <c r="I81" s="14">
        <f>ROUND((I76*H81),2)</f>
        <v>9.67</v>
      </c>
    </row>
    <row r="82" spans="1:9" ht="137.25" customHeight="1" x14ac:dyDescent="0.25">
      <c r="A82" s="13" t="s">
        <v>7</v>
      </c>
      <c r="B82" s="282" t="s">
        <v>152</v>
      </c>
      <c r="C82" s="283"/>
      <c r="D82" s="283"/>
      <c r="E82" s="283"/>
      <c r="F82" s="283"/>
      <c r="G82" s="284"/>
      <c r="H82" s="27">
        <v>1.2999999999999999E-3</v>
      </c>
      <c r="I82" s="14">
        <f>ROUND((I76*H82),2)</f>
        <v>4.66</v>
      </c>
    </row>
    <row r="83" spans="1:9" ht="35.25" customHeight="1" x14ac:dyDescent="0.25">
      <c r="A83" s="13" t="s">
        <v>8</v>
      </c>
      <c r="B83" s="282" t="s">
        <v>153</v>
      </c>
      <c r="C83" s="283"/>
      <c r="D83" s="283"/>
      <c r="E83" s="283"/>
      <c r="F83" s="283"/>
      <c r="G83" s="284"/>
      <c r="H83" s="27">
        <v>8.3333000000000001E-3</v>
      </c>
      <c r="I83" s="14">
        <f>ROUND((I76*H83),2)</f>
        <v>29.84</v>
      </c>
    </row>
    <row r="84" spans="1:9" ht="15.75" customHeight="1" thickBot="1" x14ac:dyDescent="0.3">
      <c r="A84" s="287" t="s">
        <v>86</v>
      </c>
      <c r="B84" s="288"/>
      <c r="C84" s="288"/>
      <c r="D84" s="288"/>
      <c r="E84" s="288"/>
      <c r="F84" s="288"/>
      <c r="G84" s="289"/>
      <c r="H84" s="21">
        <f>TRUNC(SUM(H78:H83),4)</f>
        <v>0.106</v>
      </c>
      <c r="I84" s="17">
        <f>SUM(I78:I83)</f>
        <v>379.94</v>
      </c>
    </row>
    <row r="85" spans="1:9" ht="7.5" customHeight="1" thickBot="1" x14ac:dyDescent="0.3">
      <c r="A85" s="296"/>
      <c r="B85" s="297"/>
      <c r="C85" s="297"/>
      <c r="D85" s="297"/>
      <c r="E85" s="297"/>
      <c r="F85" s="297"/>
      <c r="G85" s="297"/>
      <c r="H85" s="297"/>
      <c r="I85" s="298"/>
    </row>
    <row r="86" spans="1:9" ht="15.75" customHeight="1" x14ac:dyDescent="0.25">
      <c r="A86" s="311" t="s">
        <v>21</v>
      </c>
      <c r="B86" s="291"/>
      <c r="C86" s="291"/>
      <c r="D86" s="291"/>
      <c r="E86" s="291"/>
      <c r="F86" s="291"/>
      <c r="G86" s="292"/>
      <c r="H86" s="64" t="s">
        <v>55</v>
      </c>
      <c r="I86" s="22" t="s">
        <v>56</v>
      </c>
    </row>
    <row r="87" spans="1:9" ht="15.75" customHeight="1" x14ac:dyDescent="0.25">
      <c r="A87" s="13" t="s">
        <v>2</v>
      </c>
      <c r="B87" s="324" t="s">
        <v>87</v>
      </c>
      <c r="C87" s="277"/>
      <c r="D87" s="277"/>
      <c r="E87" s="277"/>
      <c r="F87" s="277"/>
      <c r="G87" s="278"/>
      <c r="H87" s="27">
        <v>0</v>
      </c>
      <c r="I87" s="14">
        <v>0</v>
      </c>
    </row>
    <row r="88" spans="1:9" ht="16.5" thickBot="1" x14ac:dyDescent="0.3">
      <c r="A88" s="287" t="s">
        <v>88</v>
      </c>
      <c r="B88" s="288"/>
      <c r="C88" s="288"/>
      <c r="D88" s="288"/>
      <c r="E88" s="288"/>
      <c r="F88" s="288"/>
      <c r="G88" s="289"/>
      <c r="H88" s="21">
        <f>TRUNC(SUM(H87),4)</f>
        <v>0</v>
      </c>
      <c r="I88" s="17">
        <f>TRUNC(SUM(I87),2)</f>
        <v>0</v>
      </c>
    </row>
    <row r="89" spans="1:9" ht="7.5" customHeight="1" thickBot="1" x14ac:dyDescent="0.3">
      <c r="A89" s="296"/>
      <c r="B89" s="297"/>
      <c r="C89" s="297"/>
      <c r="D89" s="297"/>
      <c r="E89" s="297"/>
      <c r="F89" s="297"/>
      <c r="G89" s="297"/>
      <c r="H89" s="297"/>
      <c r="I89" s="298"/>
    </row>
    <row r="90" spans="1:9" ht="16.5" thickBot="1" x14ac:dyDescent="0.3">
      <c r="A90" s="299" t="s">
        <v>89</v>
      </c>
      <c r="B90" s="300"/>
      <c r="C90" s="300"/>
      <c r="D90" s="300"/>
      <c r="E90" s="300"/>
      <c r="F90" s="300"/>
      <c r="G90" s="300"/>
      <c r="H90" s="300"/>
      <c r="I90" s="301"/>
    </row>
    <row r="91" spans="1:9" x14ac:dyDescent="0.25">
      <c r="A91" s="311" t="s">
        <v>17</v>
      </c>
      <c r="B91" s="291"/>
      <c r="C91" s="291"/>
      <c r="D91" s="291"/>
      <c r="E91" s="291"/>
      <c r="F91" s="291"/>
      <c r="G91" s="292"/>
      <c r="H91" s="62" t="s">
        <v>55</v>
      </c>
      <c r="I91" s="12" t="s">
        <v>56</v>
      </c>
    </row>
    <row r="92" spans="1:9" x14ac:dyDescent="0.25">
      <c r="A92" s="13" t="s">
        <v>19</v>
      </c>
      <c r="B92" s="324" t="s">
        <v>20</v>
      </c>
      <c r="C92" s="277"/>
      <c r="D92" s="277"/>
      <c r="E92" s="277"/>
      <c r="F92" s="277"/>
      <c r="G92" s="278"/>
      <c r="H92" s="18"/>
      <c r="I92" s="14">
        <f>I84</f>
        <v>379.94</v>
      </c>
    </row>
    <row r="93" spans="1:9" x14ac:dyDescent="0.25">
      <c r="A93" s="13" t="s">
        <v>22</v>
      </c>
      <c r="B93" s="324" t="s">
        <v>23</v>
      </c>
      <c r="C93" s="277"/>
      <c r="D93" s="277"/>
      <c r="E93" s="277"/>
      <c r="F93" s="277"/>
      <c r="G93" s="278"/>
      <c r="H93" s="18"/>
      <c r="I93" s="14">
        <f>I88</f>
        <v>0</v>
      </c>
    </row>
    <row r="94" spans="1:9" ht="16.5" thickBot="1" x14ac:dyDescent="0.3">
      <c r="A94" s="287" t="s">
        <v>90</v>
      </c>
      <c r="B94" s="288"/>
      <c r="C94" s="288"/>
      <c r="D94" s="288"/>
      <c r="E94" s="288"/>
      <c r="F94" s="288"/>
      <c r="G94" s="289"/>
      <c r="H94" s="21"/>
      <c r="I94" s="17">
        <f>I92+I93</f>
        <v>379.94</v>
      </c>
    </row>
    <row r="95" spans="1:9" ht="7.5" customHeight="1" thickBot="1" x14ac:dyDescent="0.3">
      <c r="A95" s="296"/>
      <c r="B95" s="297"/>
      <c r="C95" s="297"/>
      <c r="D95" s="297"/>
      <c r="E95" s="297"/>
      <c r="F95" s="297"/>
      <c r="G95" s="297"/>
      <c r="H95" s="297"/>
      <c r="I95" s="298"/>
    </row>
    <row r="96" spans="1:9" ht="16.5" thickBot="1" x14ac:dyDescent="0.3">
      <c r="A96" s="299" t="s">
        <v>91</v>
      </c>
      <c r="B96" s="300"/>
      <c r="C96" s="300"/>
      <c r="D96" s="300"/>
      <c r="E96" s="300"/>
      <c r="F96" s="300"/>
      <c r="G96" s="300"/>
      <c r="H96" s="300"/>
      <c r="I96" s="301"/>
    </row>
    <row r="97" spans="1:9" x14ac:dyDescent="0.25">
      <c r="A97" s="63">
        <v>5</v>
      </c>
      <c r="B97" s="290" t="s">
        <v>92</v>
      </c>
      <c r="C97" s="291"/>
      <c r="D97" s="291"/>
      <c r="E97" s="291"/>
      <c r="F97" s="291"/>
      <c r="G97" s="292"/>
      <c r="H97" s="62"/>
      <c r="I97" s="12" t="s">
        <v>56</v>
      </c>
    </row>
    <row r="98" spans="1:9" x14ac:dyDescent="0.25">
      <c r="A98" s="13" t="s">
        <v>2</v>
      </c>
      <c r="B98" s="321" t="s">
        <v>93</v>
      </c>
      <c r="C98" s="322"/>
      <c r="D98" s="322"/>
      <c r="E98" s="322"/>
      <c r="F98" s="322"/>
      <c r="G98" s="323"/>
      <c r="H98" s="16" t="s">
        <v>74</v>
      </c>
      <c r="I98" s="14">
        <f>Uniformes!F24</f>
        <v>78.862500000000011</v>
      </c>
    </row>
    <row r="99" spans="1:9" x14ac:dyDescent="0.25">
      <c r="A99" s="13" t="s">
        <v>3</v>
      </c>
      <c r="B99" s="321" t="s">
        <v>175</v>
      </c>
      <c r="C99" s="322"/>
      <c r="D99" s="322"/>
      <c r="E99" s="322"/>
      <c r="F99" s="322"/>
      <c r="G99" s="323"/>
      <c r="H99" s="16" t="s">
        <v>74</v>
      </c>
      <c r="I99" s="121">
        <f>'Materiais e Equip. PHB'!G17</f>
        <v>117.624</v>
      </c>
    </row>
    <row r="100" spans="1:9" x14ac:dyDescent="0.25">
      <c r="A100" s="77" t="s">
        <v>5</v>
      </c>
      <c r="B100" s="274" t="s">
        <v>165</v>
      </c>
      <c r="C100" s="275"/>
      <c r="D100" s="275"/>
      <c r="E100" s="275"/>
      <c r="F100" s="275"/>
      <c r="G100" s="275"/>
      <c r="H100" s="75" t="s">
        <v>74</v>
      </c>
      <c r="I100" s="76"/>
    </row>
    <row r="101" spans="1:9" ht="16.5" thickBot="1" x14ac:dyDescent="0.3">
      <c r="A101" s="287" t="s">
        <v>94</v>
      </c>
      <c r="B101" s="288"/>
      <c r="C101" s="288"/>
      <c r="D101" s="288"/>
      <c r="E101" s="288"/>
      <c r="F101" s="288"/>
      <c r="G101" s="289"/>
      <c r="H101" s="21" t="s">
        <v>74</v>
      </c>
      <c r="I101" s="17">
        <f>ROUND(SUM(I98:I99),2)</f>
        <v>196.49</v>
      </c>
    </row>
    <row r="102" spans="1:9" ht="8.1" customHeight="1" thickBot="1" x14ac:dyDescent="0.3">
      <c r="A102" s="296"/>
      <c r="B102" s="297"/>
      <c r="C102" s="297"/>
      <c r="D102" s="297"/>
      <c r="E102" s="297"/>
      <c r="F102" s="297"/>
      <c r="G102" s="297"/>
      <c r="H102" s="297"/>
      <c r="I102" s="298"/>
    </row>
    <row r="103" spans="1:9" ht="16.5" thickBot="1" x14ac:dyDescent="0.3">
      <c r="A103" s="299" t="s">
        <v>95</v>
      </c>
      <c r="B103" s="300"/>
      <c r="C103" s="300"/>
      <c r="D103" s="300"/>
      <c r="E103" s="300"/>
      <c r="F103" s="300"/>
      <c r="G103" s="300"/>
      <c r="H103" s="300"/>
      <c r="I103" s="301"/>
    </row>
    <row r="104" spans="1:9" x14ac:dyDescent="0.25">
      <c r="A104" s="63">
        <v>6</v>
      </c>
      <c r="B104" s="290" t="s">
        <v>96</v>
      </c>
      <c r="C104" s="291"/>
      <c r="D104" s="291"/>
      <c r="E104" s="291"/>
      <c r="F104" s="291"/>
      <c r="G104" s="292"/>
      <c r="H104" s="62" t="s">
        <v>55</v>
      </c>
      <c r="I104" s="12" t="s">
        <v>56</v>
      </c>
    </row>
    <row r="105" spans="1:9" ht="34.5" customHeight="1" x14ac:dyDescent="0.25">
      <c r="A105" s="293" t="s">
        <v>133</v>
      </c>
      <c r="B105" s="370"/>
      <c r="C105" s="370"/>
      <c r="D105" s="370"/>
      <c r="E105" s="370"/>
      <c r="F105" s="370"/>
      <c r="G105" s="370"/>
      <c r="H105" s="370"/>
      <c r="I105" s="371"/>
    </row>
    <row r="106" spans="1:9" x14ac:dyDescent="0.25">
      <c r="A106" s="13" t="s">
        <v>2</v>
      </c>
      <c r="B106" s="276" t="s">
        <v>0</v>
      </c>
      <c r="C106" s="277"/>
      <c r="D106" s="277"/>
      <c r="E106" s="277"/>
      <c r="F106" s="277"/>
      <c r="G106" s="278"/>
      <c r="H106" s="150">
        <v>0.05</v>
      </c>
      <c r="I106" s="14">
        <f>(H106*I132)</f>
        <v>243.63249999999999</v>
      </c>
    </row>
    <row r="107" spans="1:9" ht="31.5" customHeight="1" x14ac:dyDescent="0.25">
      <c r="A107" s="293" t="s">
        <v>134</v>
      </c>
      <c r="B107" s="294"/>
      <c r="C107" s="294"/>
      <c r="D107" s="294"/>
      <c r="E107" s="294"/>
      <c r="F107" s="294"/>
      <c r="G107" s="294"/>
      <c r="H107" s="294"/>
      <c r="I107" s="295"/>
    </row>
    <row r="108" spans="1:9" ht="15.75" customHeight="1" x14ac:dyDescent="0.25">
      <c r="A108" s="13" t="s">
        <v>3</v>
      </c>
      <c r="B108" s="276" t="s">
        <v>1</v>
      </c>
      <c r="C108" s="277"/>
      <c r="D108" s="277"/>
      <c r="E108" s="277"/>
      <c r="F108" s="277"/>
      <c r="G108" s="278"/>
      <c r="H108" s="150">
        <v>5.8299999999999998E-2</v>
      </c>
      <c r="I108" s="14">
        <f>(H108*(I106+I132))</f>
        <v>298.27926974999997</v>
      </c>
    </row>
    <row r="109" spans="1:9" ht="33.75" customHeight="1" x14ac:dyDescent="0.25">
      <c r="A109" s="293" t="s">
        <v>135</v>
      </c>
      <c r="B109" s="294"/>
      <c r="C109" s="294"/>
      <c r="D109" s="294"/>
      <c r="E109" s="294"/>
      <c r="F109" s="294"/>
      <c r="G109" s="294"/>
      <c r="H109" s="294"/>
      <c r="I109" s="295"/>
    </row>
    <row r="110" spans="1:9" x14ac:dyDescent="0.25">
      <c r="A110" s="13" t="s">
        <v>5</v>
      </c>
      <c r="B110" s="279" t="s">
        <v>97</v>
      </c>
      <c r="C110" s="280"/>
      <c r="D110" s="280"/>
      <c r="E110" s="280"/>
      <c r="F110" s="280"/>
      <c r="G110" s="281"/>
      <c r="H110" s="15"/>
      <c r="I110" s="28"/>
    </row>
    <row r="111" spans="1:9" ht="51.75" customHeight="1" x14ac:dyDescent="0.25">
      <c r="A111" s="13" t="s">
        <v>98</v>
      </c>
      <c r="B111" s="282" t="s">
        <v>172</v>
      </c>
      <c r="C111" s="283"/>
      <c r="D111" s="283"/>
      <c r="E111" s="283"/>
      <c r="F111" s="283"/>
      <c r="G111" s="284"/>
      <c r="H111" s="29">
        <v>6.4999999999999997E-3</v>
      </c>
      <c r="I111" s="14">
        <f>(H111*I121)</f>
        <v>38.527246852764101</v>
      </c>
    </row>
    <row r="112" spans="1:9" ht="54" customHeight="1" x14ac:dyDescent="0.25">
      <c r="A112" s="13" t="s">
        <v>99</v>
      </c>
      <c r="B112" s="282" t="s">
        <v>173</v>
      </c>
      <c r="C112" s="285"/>
      <c r="D112" s="285"/>
      <c r="E112" s="285"/>
      <c r="F112" s="285"/>
      <c r="G112" s="286"/>
      <c r="H112" s="29">
        <v>0.03</v>
      </c>
      <c r="I112" s="14">
        <f>(H112*I121)</f>
        <v>177.81806239737276</v>
      </c>
    </row>
    <row r="113" spans="1:9" ht="32.25" customHeight="1" x14ac:dyDescent="0.25">
      <c r="A113" s="13" t="s">
        <v>100</v>
      </c>
      <c r="B113" s="282" t="s">
        <v>174</v>
      </c>
      <c r="C113" s="283"/>
      <c r="D113" s="283"/>
      <c r="E113" s="283"/>
      <c r="F113" s="283"/>
      <c r="G113" s="284"/>
      <c r="H113" s="15">
        <v>0.05</v>
      </c>
      <c r="I113" s="14">
        <f>(H113*I121)</f>
        <v>296.3634373289546</v>
      </c>
    </row>
    <row r="114" spans="1:9" ht="16.5" thickBot="1" x14ac:dyDescent="0.3">
      <c r="A114" s="287" t="s">
        <v>101</v>
      </c>
      <c r="B114" s="288"/>
      <c r="C114" s="288"/>
      <c r="D114" s="288"/>
      <c r="E114" s="288"/>
      <c r="F114" s="288"/>
      <c r="G114" s="289"/>
      <c r="H114" s="30">
        <f>SUM(H106:H113)</f>
        <v>0.19480000000000003</v>
      </c>
      <c r="I114" s="17">
        <f>ROUND(SUM(I106:I113),2)</f>
        <v>1054.6199999999999</v>
      </c>
    </row>
    <row r="115" spans="1:9" ht="8.1" customHeight="1" thickBot="1" x14ac:dyDescent="0.3">
      <c r="A115" s="312"/>
      <c r="B115" s="313"/>
      <c r="C115" s="313"/>
      <c r="D115" s="313"/>
      <c r="E115" s="313"/>
      <c r="F115" s="313"/>
      <c r="G115" s="313"/>
      <c r="H115" s="313"/>
      <c r="I115" s="314"/>
    </row>
    <row r="116" spans="1:9" ht="14.25" customHeight="1" x14ac:dyDescent="0.25">
      <c r="A116" s="31" t="s">
        <v>102</v>
      </c>
      <c r="B116" s="315" t="s">
        <v>103</v>
      </c>
      <c r="C116" s="315"/>
      <c r="D116" s="315"/>
      <c r="E116" s="315"/>
      <c r="F116" s="315"/>
      <c r="G116" s="315"/>
      <c r="H116" s="32">
        <f>(H111+H112+H113)</f>
        <v>8.6499999999999994E-2</v>
      </c>
      <c r="I116" s="33"/>
    </row>
    <row r="117" spans="1:9" ht="12.75" customHeight="1" x14ac:dyDescent="0.25">
      <c r="A117" s="60"/>
      <c r="B117" s="316">
        <v>100</v>
      </c>
      <c r="C117" s="316"/>
      <c r="D117" s="316"/>
      <c r="E117" s="316"/>
      <c r="F117" s="316"/>
      <c r="G117" s="316"/>
      <c r="H117" s="19"/>
      <c r="I117" s="34"/>
    </row>
    <row r="118" spans="1:9" ht="7.5" customHeight="1" x14ac:dyDescent="0.25">
      <c r="A118" s="35"/>
      <c r="B118" s="66"/>
      <c r="C118" s="66"/>
      <c r="D118" s="66"/>
      <c r="E118" s="66"/>
      <c r="F118" s="66"/>
      <c r="G118" s="66"/>
      <c r="H118" s="19"/>
      <c r="I118" s="34"/>
    </row>
    <row r="119" spans="1:9" ht="15" customHeight="1" x14ac:dyDescent="0.25">
      <c r="A119" s="60" t="s">
        <v>104</v>
      </c>
      <c r="B119" s="316" t="s">
        <v>105</v>
      </c>
      <c r="C119" s="316"/>
      <c r="D119" s="316"/>
      <c r="E119" s="316"/>
      <c r="F119" s="316"/>
      <c r="G119" s="316"/>
      <c r="H119" s="19"/>
      <c r="I119" s="36">
        <f>ROUND(I132+I106+I108,2)</f>
        <v>5414.56</v>
      </c>
    </row>
    <row r="120" spans="1:9" ht="6.75" customHeight="1" x14ac:dyDescent="0.25">
      <c r="A120" s="60"/>
      <c r="B120" s="66"/>
      <c r="C120" s="66"/>
      <c r="D120" s="66"/>
      <c r="E120" s="66"/>
      <c r="F120" s="66"/>
      <c r="G120" s="66"/>
      <c r="H120" s="19"/>
      <c r="I120" s="34"/>
    </row>
    <row r="121" spans="1:9" ht="14.25" customHeight="1" x14ac:dyDescent="0.25">
      <c r="A121" s="60" t="s">
        <v>106</v>
      </c>
      <c r="B121" s="316" t="s">
        <v>107</v>
      </c>
      <c r="C121" s="316"/>
      <c r="D121" s="316"/>
      <c r="E121" s="316"/>
      <c r="F121" s="316"/>
      <c r="G121" s="316"/>
      <c r="H121" s="19"/>
      <c r="I121" s="37">
        <f>(I119/(1-H116))</f>
        <v>5927.2687465790923</v>
      </c>
    </row>
    <row r="122" spans="1:9" ht="6.75" customHeight="1" x14ac:dyDescent="0.25">
      <c r="A122" s="60"/>
      <c r="B122" s="66"/>
      <c r="C122" s="66"/>
      <c r="D122" s="66"/>
      <c r="E122" s="66"/>
      <c r="F122" s="66"/>
      <c r="G122" s="66"/>
      <c r="H122" s="19"/>
      <c r="I122" s="34"/>
    </row>
    <row r="123" spans="1:9" ht="13.5" customHeight="1" thickBot="1" x14ac:dyDescent="0.3">
      <c r="A123" s="38"/>
      <c r="B123" s="317" t="s">
        <v>108</v>
      </c>
      <c r="C123" s="317"/>
      <c r="D123" s="317"/>
      <c r="E123" s="317"/>
      <c r="F123" s="317"/>
      <c r="G123" s="317"/>
      <c r="H123" s="39"/>
      <c r="I123" s="40">
        <f>(I121-I119)</f>
        <v>512.70874657909189</v>
      </c>
    </row>
    <row r="124" spans="1:9" ht="28.5" customHeight="1" thickBot="1" x14ac:dyDescent="0.3">
      <c r="A124" s="308" t="s">
        <v>136</v>
      </c>
      <c r="B124" s="309"/>
      <c r="C124" s="309"/>
      <c r="D124" s="309"/>
      <c r="E124" s="309"/>
      <c r="F124" s="309"/>
      <c r="G124" s="309"/>
      <c r="H124" s="309"/>
      <c r="I124" s="310"/>
    </row>
    <row r="125" spans="1:9" ht="16.5" thickBot="1" x14ac:dyDescent="0.3">
      <c r="A125" s="299" t="s">
        <v>109</v>
      </c>
      <c r="B125" s="300"/>
      <c r="C125" s="300"/>
      <c r="D125" s="300"/>
      <c r="E125" s="300"/>
      <c r="F125" s="300"/>
      <c r="G125" s="300"/>
      <c r="H125" s="300"/>
      <c r="I125" s="301"/>
    </row>
    <row r="126" spans="1:9" x14ac:dyDescent="0.25">
      <c r="A126" s="311" t="s">
        <v>110</v>
      </c>
      <c r="B126" s="291"/>
      <c r="C126" s="291"/>
      <c r="D126" s="291"/>
      <c r="E126" s="291"/>
      <c r="F126" s="291"/>
      <c r="G126" s="291"/>
      <c r="H126" s="292"/>
      <c r="I126" s="12" t="s">
        <v>56</v>
      </c>
    </row>
    <row r="127" spans="1:9" x14ac:dyDescent="0.25">
      <c r="A127" s="5" t="s">
        <v>2</v>
      </c>
      <c r="B127" s="302" t="str">
        <f>A23</f>
        <v>MÓDULO 1 - COMPOSIÇÃO DA REMUNERAÇÃO</v>
      </c>
      <c r="C127" s="303"/>
      <c r="D127" s="303"/>
      <c r="E127" s="303"/>
      <c r="F127" s="303"/>
      <c r="G127" s="303"/>
      <c r="H127" s="304"/>
      <c r="I127" s="14">
        <f>I31</f>
        <v>2020.15</v>
      </c>
    </row>
    <row r="128" spans="1:9" x14ac:dyDescent="0.25">
      <c r="A128" s="5" t="s">
        <v>3</v>
      </c>
      <c r="B128" s="302" t="str">
        <f>A33</f>
        <v>MÓDULO 2 – ENCARGOS E BENEFÍCIOS ANUAIS, MENSAIS E DIÁRIOS</v>
      </c>
      <c r="C128" s="303"/>
      <c r="D128" s="303"/>
      <c r="E128" s="303"/>
      <c r="F128" s="303"/>
      <c r="G128" s="303"/>
      <c r="H128" s="304"/>
      <c r="I128" s="14">
        <f>I62</f>
        <v>2132.4299999999998</v>
      </c>
    </row>
    <row r="129" spans="1:12" x14ac:dyDescent="0.25">
      <c r="A129" s="5" t="s">
        <v>5</v>
      </c>
      <c r="B129" s="302" t="str">
        <f>A64</f>
        <v>MÓDULO 3 – PROVISÃO PARA RESCISÃO</v>
      </c>
      <c r="C129" s="303"/>
      <c r="D129" s="303"/>
      <c r="E129" s="303"/>
      <c r="F129" s="303"/>
      <c r="G129" s="303"/>
      <c r="H129" s="304"/>
      <c r="I129" s="14">
        <f>I71</f>
        <v>143.64000000000001</v>
      </c>
    </row>
    <row r="130" spans="1:12" ht="15.75" customHeight="1" x14ac:dyDescent="0.25">
      <c r="A130" s="41" t="s">
        <v>6</v>
      </c>
      <c r="B130" s="302" t="str">
        <f>A73</f>
        <v>MÓDULO 4 – CUSTO DE REPOSIÇÃO DO PROFISSIONAL AUSENTE</v>
      </c>
      <c r="C130" s="303"/>
      <c r="D130" s="303"/>
      <c r="E130" s="303"/>
      <c r="F130" s="303"/>
      <c r="G130" s="303"/>
      <c r="H130" s="304"/>
      <c r="I130" s="14">
        <f>I94</f>
        <v>379.94</v>
      </c>
    </row>
    <row r="131" spans="1:12" ht="15.75" customHeight="1" x14ac:dyDescent="0.25">
      <c r="A131" s="41" t="s">
        <v>7</v>
      </c>
      <c r="B131" s="302" t="str">
        <f>A96</f>
        <v>MÓDULO 5 – INSUMOS DIVERSOS</v>
      </c>
      <c r="C131" s="303"/>
      <c r="D131" s="303"/>
      <c r="E131" s="303"/>
      <c r="F131" s="303"/>
      <c r="G131" s="303"/>
      <c r="H131" s="304"/>
      <c r="I131" s="14">
        <f>I101</f>
        <v>196.49</v>
      </c>
    </row>
    <row r="132" spans="1:12" x14ac:dyDescent="0.25">
      <c r="A132" s="13"/>
      <c r="B132" s="318" t="s">
        <v>111</v>
      </c>
      <c r="C132" s="319"/>
      <c r="D132" s="319"/>
      <c r="E132" s="319"/>
      <c r="F132" s="319"/>
      <c r="G132" s="319"/>
      <c r="H132" s="320"/>
      <c r="I132" s="42">
        <f>ROUND(SUM(I127:I131),2)</f>
        <v>4872.6499999999996</v>
      </c>
    </row>
    <row r="133" spans="1:12" ht="15.75" customHeight="1" x14ac:dyDescent="0.25">
      <c r="A133" s="41" t="s">
        <v>8</v>
      </c>
      <c r="B133" s="302" t="str">
        <f>A103</f>
        <v>MÓDULO 6 – CUSTOS INDIRETOS, TRIBUTOS E LUCRO</v>
      </c>
      <c r="C133" s="303"/>
      <c r="D133" s="303"/>
      <c r="E133" s="303"/>
      <c r="F133" s="303"/>
      <c r="G133" s="303"/>
      <c r="H133" s="304"/>
      <c r="I133" s="14">
        <f>I114</f>
        <v>1054.6199999999999</v>
      </c>
    </row>
    <row r="134" spans="1:12" ht="16.5" thickBot="1" x14ac:dyDescent="0.3">
      <c r="A134" s="305" t="s">
        <v>112</v>
      </c>
      <c r="B134" s="306"/>
      <c r="C134" s="306"/>
      <c r="D134" s="306"/>
      <c r="E134" s="306"/>
      <c r="F134" s="306"/>
      <c r="G134" s="306"/>
      <c r="H134" s="307"/>
      <c r="I134" s="43">
        <f>ROUND(SUM(I132:I133),2)</f>
        <v>5927.27</v>
      </c>
      <c r="K134" s="46"/>
      <c r="L134" s="23"/>
    </row>
    <row r="135" spans="1:12" ht="12.75" customHeight="1" x14ac:dyDescent="0.25">
      <c r="A135" s="405"/>
      <c r="B135" s="405"/>
      <c r="C135" s="405"/>
      <c r="D135" s="405"/>
      <c r="E135" s="405"/>
      <c r="F135" s="405"/>
      <c r="G135" s="405"/>
      <c r="H135" s="405"/>
      <c r="I135" s="405"/>
    </row>
  </sheetData>
  <mergeCells count="134">
    <mergeCell ref="B131:H131"/>
    <mergeCell ref="B132:H132"/>
    <mergeCell ref="B133:H133"/>
    <mergeCell ref="A134:H134"/>
    <mergeCell ref="A135:I135"/>
    <mergeCell ref="B7:H7"/>
    <mergeCell ref="A8:I8"/>
    <mergeCell ref="A9:I9"/>
    <mergeCell ref="A10:F10"/>
    <mergeCell ref="G10:H10"/>
    <mergeCell ref="A11:F11"/>
    <mergeCell ref="G11:H11"/>
    <mergeCell ref="B21:H21"/>
    <mergeCell ref="A22:I22"/>
    <mergeCell ref="A23:I23"/>
    <mergeCell ref="B30:G30"/>
    <mergeCell ref="A31:H31"/>
    <mergeCell ref="A32:I32"/>
    <mergeCell ref="A33:I33"/>
    <mergeCell ref="A34:G34"/>
    <mergeCell ref="B35:G35"/>
    <mergeCell ref="B24:G24"/>
    <mergeCell ref="B25:G25"/>
    <mergeCell ref="B26:G26"/>
    <mergeCell ref="A1:I1"/>
    <mergeCell ref="A2:I2"/>
    <mergeCell ref="A3:I3"/>
    <mergeCell ref="B4:H4"/>
    <mergeCell ref="B5:H5"/>
    <mergeCell ref="B6:H6"/>
    <mergeCell ref="B18:H18"/>
    <mergeCell ref="B19:H19"/>
    <mergeCell ref="B20:H20"/>
    <mergeCell ref="A12:I12"/>
    <mergeCell ref="A13:I13"/>
    <mergeCell ref="A14:I14"/>
    <mergeCell ref="A15:I15"/>
    <mergeCell ref="A16:I16"/>
    <mergeCell ref="B17:H17"/>
    <mergeCell ref="B27:G27"/>
    <mergeCell ref="B28:G28"/>
    <mergeCell ref="B29:G29"/>
    <mergeCell ref="B42:G42"/>
    <mergeCell ref="B43:G43"/>
    <mergeCell ref="B44:G44"/>
    <mergeCell ref="B45:G45"/>
    <mergeCell ref="B46:G46"/>
    <mergeCell ref="B47:G47"/>
    <mergeCell ref="B36:G36"/>
    <mergeCell ref="A37:G37"/>
    <mergeCell ref="A38:I38"/>
    <mergeCell ref="A39:G39"/>
    <mergeCell ref="B40:G40"/>
    <mergeCell ref="B41:G41"/>
    <mergeCell ref="A55:H55"/>
    <mergeCell ref="A56:I56"/>
    <mergeCell ref="A57:I57"/>
    <mergeCell ref="A58:H58"/>
    <mergeCell ref="A48:G48"/>
    <mergeCell ref="A49:I49"/>
    <mergeCell ref="A50:G50"/>
    <mergeCell ref="B51:G51"/>
    <mergeCell ref="B52:G52"/>
    <mergeCell ref="B54:G54"/>
    <mergeCell ref="B53:G53"/>
    <mergeCell ref="B65:G65"/>
    <mergeCell ref="B66:G66"/>
    <mergeCell ref="B67:G67"/>
    <mergeCell ref="B68:G68"/>
    <mergeCell ref="B69:G69"/>
    <mergeCell ref="B70:G70"/>
    <mergeCell ref="B59:H59"/>
    <mergeCell ref="B60:H60"/>
    <mergeCell ref="B61:H61"/>
    <mergeCell ref="A62:H62"/>
    <mergeCell ref="A63:I63"/>
    <mergeCell ref="A64:I64"/>
    <mergeCell ref="B78:G78"/>
    <mergeCell ref="B79:G79"/>
    <mergeCell ref="B80:G80"/>
    <mergeCell ref="B81:G81"/>
    <mergeCell ref="A73:I73"/>
    <mergeCell ref="A74:I74"/>
    <mergeCell ref="A71:G71"/>
    <mergeCell ref="A72:I72"/>
    <mergeCell ref="A75:I75"/>
    <mergeCell ref="G76:H76"/>
    <mergeCell ref="A77:G77"/>
    <mergeCell ref="B82:G82"/>
    <mergeCell ref="A84:G84"/>
    <mergeCell ref="A86:G86"/>
    <mergeCell ref="B83:G83"/>
    <mergeCell ref="A85:I85"/>
    <mergeCell ref="B87:G87"/>
    <mergeCell ref="A88:G88"/>
    <mergeCell ref="A89:I89"/>
    <mergeCell ref="A90:I90"/>
    <mergeCell ref="A91:G91"/>
    <mergeCell ref="B92:G92"/>
    <mergeCell ref="B93:G93"/>
    <mergeCell ref="A94:G94"/>
    <mergeCell ref="B104:G104"/>
    <mergeCell ref="B97:G97"/>
    <mergeCell ref="B98:G98"/>
    <mergeCell ref="B99:G99"/>
    <mergeCell ref="A95:I95"/>
    <mergeCell ref="A96:I96"/>
    <mergeCell ref="B100:G100"/>
    <mergeCell ref="A101:G101"/>
    <mergeCell ref="A102:I102"/>
    <mergeCell ref="A103:I103"/>
    <mergeCell ref="A105:I105"/>
    <mergeCell ref="B112:G112"/>
    <mergeCell ref="B116:G116"/>
    <mergeCell ref="B106:G106"/>
    <mergeCell ref="B108:G108"/>
    <mergeCell ref="B111:G111"/>
    <mergeCell ref="A107:I107"/>
    <mergeCell ref="A109:I109"/>
    <mergeCell ref="B110:G110"/>
    <mergeCell ref="B113:G113"/>
    <mergeCell ref="A114:G114"/>
    <mergeCell ref="A115:I115"/>
    <mergeCell ref="B129:H129"/>
    <mergeCell ref="B130:H130"/>
    <mergeCell ref="B117:G117"/>
    <mergeCell ref="B119:G119"/>
    <mergeCell ref="B127:H127"/>
    <mergeCell ref="B128:H128"/>
    <mergeCell ref="B121:G121"/>
    <mergeCell ref="B123:G123"/>
    <mergeCell ref="A124:I124"/>
    <mergeCell ref="A125:I125"/>
    <mergeCell ref="A126:H12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portrait" r:id="rId1"/>
  <rowBreaks count="1" manualBreakCount="1">
    <brk id="6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B5FD6-50AA-4B2D-95B6-128FFD6A9C57}">
  <sheetPr>
    <tabColor rgb="FF00B050"/>
  </sheetPr>
  <dimension ref="A1:I30"/>
  <sheetViews>
    <sheetView topLeftCell="A19" workbookViewId="0">
      <selection activeCell="C24" sqref="C24"/>
    </sheetView>
  </sheetViews>
  <sheetFormatPr defaultRowHeight="15" x14ac:dyDescent="0.25"/>
  <cols>
    <col min="1" max="1" width="25.7109375" customWidth="1"/>
    <col min="2" max="2" width="24.42578125" customWidth="1"/>
    <col min="3" max="3" width="21.5703125" customWidth="1"/>
    <col min="4" max="4" width="19.42578125" customWidth="1"/>
    <col min="5" max="5" width="22" customWidth="1"/>
    <col min="6" max="6" width="21" customWidth="1"/>
    <col min="7" max="7" width="13.5703125" bestFit="1" customWidth="1"/>
    <col min="8" max="8" width="9.85546875" bestFit="1" customWidth="1"/>
    <col min="9" max="9" width="14.42578125" bestFit="1" customWidth="1"/>
  </cols>
  <sheetData>
    <row r="1" spans="1:8" ht="18.75" customHeight="1" x14ac:dyDescent="0.3">
      <c r="A1" s="182" t="s">
        <v>311</v>
      </c>
      <c r="B1" s="182"/>
      <c r="C1" s="182"/>
      <c r="D1" s="182"/>
      <c r="E1" s="183"/>
      <c r="F1" s="183"/>
      <c r="G1" s="183"/>
      <c r="H1" s="157"/>
    </row>
    <row r="2" spans="1:8" ht="18.75" customHeight="1" x14ac:dyDescent="0.3">
      <c r="A2" s="415" t="s">
        <v>312</v>
      </c>
      <c r="B2" s="415"/>
      <c r="C2" s="415"/>
      <c r="D2" s="415"/>
      <c r="E2" s="415"/>
      <c r="F2" s="415"/>
      <c r="G2" s="415"/>
      <c r="H2" s="157"/>
    </row>
    <row r="3" spans="1:8" ht="18.75" customHeight="1" x14ac:dyDescent="0.3">
      <c r="A3" s="415" t="s">
        <v>313</v>
      </c>
      <c r="B3" s="415"/>
      <c r="C3" s="415"/>
      <c r="D3" s="415"/>
      <c r="E3" s="415"/>
      <c r="F3" s="415"/>
      <c r="G3" s="183"/>
      <c r="H3" s="157"/>
    </row>
    <row r="4" spans="1:8" ht="15.75" x14ac:dyDescent="0.25">
      <c r="A4" s="156"/>
      <c r="B4" s="156"/>
      <c r="C4" s="156"/>
      <c r="D4" s="156"/>
      <c r="E4" s="156"/>
      <c r="F4" s="156"/>
      <c r="G4" s="156"/>
      <c r="H4" s="157"/>
    </row>
    <row r="5" spans="1:8" ht="15.75" x14ac:dyDescent="0.25">
      <c r="A5" s="173" t="s">
        <v>314</v>
      </c>
      <c r="B5" s="416" t="s">
        <v>315</v>
      </c>
      <c r="C5" s="417"/>
      <c r="D5" s="417"/>
      <c r="E5" s="417"/>
      <c r="F5" s="175"/>
      <c r="G5" s="156"/>
      <c r="H5" s="157"/>
    </row>
    <row r="6" spans="1:8" ht="31.5" x14ac:dyDescent="0.25">
      <c r="A6" s="176" t="s">
        <v>316</v>
      </c>
      <c r="B6" s="176" t="s">
        <v>317</v>
      </c>
      <c r="C6" s="176" t="s">
        <v>318</v>
      </c>
      <c r="D6" s="176" t="s">
        <v>319</v>
      </c>
      <c r="E6" s="177" t="s">
        <v>320</v>
      </c>
      <c r="F6" s="178" t="s">
        <v>321</v>
      </c>
      <c r="G6" s="156"/>
      <c r="H6" s="157"/>
    </row>
    <row r="7" spans="1:8" ht="15.75" x14ac:dyDescent="0.25">
      <c r="A7" s="176" t="s">
        <v>322</v>
      </c>
      <c r="B7" s="171">
        <v>800</v>
      </c>
      <c r="C7" s="159">
        <f>1/1200</f>
        <v>8.3333333333333339E-4</v>
      </c>
      <c r="D7" s="189">
        <f>'LIMPEZA PHB'!I134</f>
        <v>5927.27</v>
      </c>
      <c r="E7" s="172">
        <f>ROUND((D7*C7),6)</f>
        <v>4.9393919999999998</v>
      </c>
      <c r="F7" s="184">
        <f>E7*B7</f>
        <v>3951.5135999999998</v>
      </c>
      <c r="G7" s="156"/>
      <c r="H7" s="157"/>
    </row>
    <row r="8" spans="1:8" ht="15.75" x14ac:dyDescent="0.25">
      <c r="A8" s="176" t="s">
        <v>323</v>
      </c>
      <c r="B8" s="171">
        <v>87</v>
      </c>
      <c r="C8" s="159">
        <f>1/2500</f>
        <v>4.0000000000000002E-4</v>
      </c>
      <c r="D8" s="189">
        <f>'LIMPEZA PHB'!I134</f>
        <v>5927.27</v>
      </c>
      <c r="E8" s="172">
        <f t="shared" ref="E8:E11" si="0">ROUND((D8*C8),6)</f>
        <v>2.370908</v>
      </c>
      <c r="F8" s="184">
        <f t="shared" ref="F8:F11" si="1">E8*B8</f>
        <v>206.26899600000002</v>
      </c>
      <c r="G8" s="156"/>
      <c r="H8" s="157"/>
    </row>
    <row r="9" spans="1:8" ht="15.75" x14ac:dyDescent="0.25">
      <c r="A9" s="176" t="s">
        <v>324</v>
      </c>
      <c r="B9" s="171">
        <v>28</v>
      </c>
      <c r="C9" s="159">
        <f>1/1800</f>
        <v>5.5555555555555556E-4</v>
      </c>
      <c r="D9" s="189">
        <f>'LIMPEZA PHB'!I134</f>
        <v>5927.27</v>
      </c>
      <c r="E9" s="172">
        <f t="shared" si="0"/>
        <v>3.2929279999999999</v>
      </c>
      <c r="F9" s="184">
        <f t="shared" si="1"/>
        <v>92.201983999999996</v>
      </c>
      <c r="G9" s="156"/>
      <c r="H9" s="157"/>
    </row>
    <row r="10" spans="1:8" ht="31.5" x14ac:dyDescent="0.25">
      <c r="A10" s="176" t="s">
        <v>325</v>
      </c>
      <c r="B10" s="171">
        <v>170.5</v>
      </c>
      <c r="C10" s="159">
        <f>1/1500</f>
        <v>6.6666666666666664E-4</v>
      </c>
      <c r="D10" s="189">
        <f>'LIMPEZA PHB'!I134</f>
        <v>5927.27</v>
      </c>
      <c r="E10" s="172">
        <f t="shared" si="0"/>
        <v>3.9515129999999998</v>
      </c>
      <c r="F10" s="184">
        <f t="shared" si="1"/>
        <v>673.73296649999997</v>
      </c>
      <c r="G10" s="156"/>
      <c r="H10" s="157"/>
    </row>
    <row r="11" spans="1:8" ht="15.75" x14ac:dyDescent="0.25">
      <c r="A11" s="176" t="s">
        <v>326</v>
      </c>
      <c r="B11" s="171">
        <v>42</v>
      </c>
      <c r="C11" s="159">
        <f>1/300</f>
        <v>3.3333333333333335E-3</v>
      </c>
      <c r="D11" s="189">
        <f>'LIMPEZA PHB'!I134</f>
        <v>5927.27</v>
      </c>
      <c r="E11" s="172">
        <f t="shared" si="0"/>
        <v>19.757567000000002</v>
      </c>
      <c r="F11" s="184">
        <f t="shared" si="1"/>
        <v>829.81781400000011</v>
      </c>
      <c r="G11" s="156"/>
      <c r="H11" s="157"/>
    </row>
    <row r="12" spans="1:8" ht="15.75" x14ac:dyDescent="0.25">
      <c r="A12" s="156"/>
      <c r="B12" s="156"/>
      <c r="C12" s="156"/>
      <c r="D12" s="156"/>
      <c r="E12" s="156"/>
      <c r="F12" s="158"/>
      <c r="G12" s="156"/>
      <c r="H12" s="157"/>
    </row>
    <row r="13" spans="1:8" ht="15.75" x14ac:dyDescent="0.25">
      <c r="A13" s="156"/>
      <c r="B13" s="156"/>
      <c r="C13" s="156"/>
      <c r="D13" s="156"/>
      <c r="E13" s="156"/>
      <c r="F13" s="158"/>
      <c r="G13" s="156"/>
      <c r="H13" s="157"/>
    </row>
    <row r="14" spans="1:8" ht="15.75" x14ac:dyDescent="0.25">
      <c r="A14" s="173" t="s">
        <v>314</v>
      </c>
      <c r="B14" s="416" t="s">
        <v>315</v>
      </c>
      <c r="C14" s="417"/>
      <c r="D14" s="417"/>
      <c r="E14" s="417"/>
      <c r="F14" s="175"/>
      <c r="G14" s="156"/>
      <c r="H14" s="157"/>
    </row>
    <row r="15" spans="1:8" ht="31.5" x14ac:dyDescent="0.25">
      <c r="A15" s="176" t="s">
        <v>327</v>
      </c>
      <c r="B15" s="179" t="s">
        <v>317</v>
      </c>
      <c r="C15" s="176" t="s">
        <v>318</v>
      </c>
      <c r="D15" s="176" t="s">
        <v>319</v>
      </c>
      <c r="E15" s="177" t="s">
        <v>320</v>
      </c>
      <c r="F15" s="180"/>
      <c r="G15" s="156"/>
      <c r="H15" s="157"/>
    </row>
    <row r="16" spans="1:8" ht="47.25" x14ac:dyDescent="0.25">
      <c r="A16" s="176" t="s">
        <v>328</v>
      </c>
      <c r="B16" s="171">
        <v>2000</v>
      </c>
      <c r="C16" s="159">
        <f>1/2700</f>
        <v>3.7037037037037035E-4</v>
      </c>
      <c r="D16" s="189">
        <f>'LIMPEZA PHB'!I134</f>
        <v>5927.27</v>
      </c>
      <c r="E16" s="172">
        <f>ROUND((D16*C16),6)</f>
        <v>2.1952850000000002</v>
      </c>
      <c r="F16" s="184">
        <f>E16*B16</f>
        <v>4390.5700000000006</v>
      </c>
      <c r="G16" s="156"/>
      <c r="H16" s="157"/>
    </row>
    <row r="17" spans="1:9" ht="31.5" x14ac:dyDescent="0.25">
      <c r="A17" s="176" t="s">
        <v>329</v>
      </c>
      <c r="B17" s="171">
        <v>600</v>
      </c>
      <c r="C17" s="159">
        <f>1/9000</f>
        <v>1.1111111111111112E-4</v>
      </c>
      <c r="D17" s="189">
        <f>'LIMPEZA PHB'!I134</f>
        <v>5927.27</v>
      </c>
      <c r="E17" s="172">
        <f t="shared" ref="E17:E18" si="2">ROUND((D17*C17),6)</f>
        <v>0.658586</v>
      </c>
      <c r="F17" s="184">
        <f t="shared" ref="F17:F18" si="3">E17*B17</f>
        <v>395.15160000000003</v>
      </c>
      <c r="G17" s="156"/>
      <c r="H17" s="157"/>
    </row>
    <row r="18" spans="1:9" ht="31.5" x14ac:dyDescent="0.25">
      <c r="A18" s="176" t="s">
        <v>330</v>
      </c>
      <c r="B18" s="171">
        <v>536</v>
      </c>
      <c r="C18" s="159">
        <f>1/2700</f>
        <v>3.7037037037037035E-4</v>
      </c>
      <c r="D18" s="189">
        <f>'LIMPEZA PHB'!I134</f>
        <v>5927.27</v>
      </c>
      <c r="E18" s="172">
        <f t="shared" si="2"/>
        <v>2.1952850000000002</v>
      </c>
      <c r="F18" s="184">
        <f t="shared" si="3"/>
        <v>1176.6727600000002</v>
      </c>
      <c r="G18" s="156"/>
      <c r="H18" s="157"/>
    </row>
    <row r="19" spans="1:9" ht="15.75" x14ac:dyDescent="0.25">
      <c r="A19" s="159"/>
      <c r="B19" s="158"/>
      <c r="C19" s="159"/>
      <c r="D19" s="159"/>
      <c r="E19" s="160"/>
      <c r="F19" s="158"/>
      <c r="G19" s="156"/>
      <c r="H19" s="157"/>
    </row>
    <row r="20" spans="1:9" ht="15.75" x14ac:dyDescent="0.25">
      <c r="A20" s="159"/>
      <c r="B20" s="158"/>
      <c r="C20" s="159"/>
      <c r="D20" s="159"/>
      <c r="E20" s="160"/>
      <c r="F20" s="158"/>
      <c r="G20" s="156"/>
      <c r="H20" s="157"/>
    </row>
    <row r="21" spans="1:9" ht="15.75" x14ac:dyDescent="0.25">
      <c r="A21" s="156"/>
      <c r="B21" s="156"/>
      <c r="C21" s="156"/>
      <c r="D21" s="156"/>
      <c r="E21" s="156"/>
      <c r="F21" s="156"/>
      <c r="G21" s="156"/>
      <c r="H21" s="157"/>
    </row>
    <row r="22" spans="1:9" ht="15.75" x14ac:dyDescent="0.25">
      <c r="A22" s="156"/>
      <c r="B22" s="156"/>
      <c r="C22" s="156"/>
      <c r="D22" s="156"/>
      <c r="E22" s="156"/>
      <c r="F22" s="156"/>
      <c r="G22" s="156"/>
      <c r="H22" s="157"/>
    </row>
    <row r="23" spans="1:9" ht="15.75" x14ac:dyDescent="0.25">
      <c r="A23" s="173" t="s">
        <v>314</v>
      </c>
      <c r="B23" s="418" t="s">
        <v>315</v>
      </c>
      <c r="C23" s="418"/>
      <c r="D23" s="418"/>
      <c r="E23" s="418"/>
      <c r="F23" s="418"/>
      <c r="G23" s="418"/>
      <c r="H23" s="418"/>
      <c r="I23" s="174"/>
    </row>
    <row r="24" spans="1:9" ht="61.5" customHeight="1" x14ac:dyDescent="0.25">
      <c r="A24" s="176" t="s">
        <v>347</v>
      </c>
      <c r="B24" s="179" t="s">
        <v>317</v>
      </c>
      <c r="C24" s="176" t="s">
        <v>318</v>
      </c>
      <c r="D24" s="176" t="s">
        <v>331</v>
      </c>
      <c r="E24" s="176" t="s">
        <v>332</v>
      </c>
      <c r="F24" s="176" t="s">
        <v>333</v>
      </c>
      <c r="G24" s="176" t="s">
        <v>334</v>
      </c>
      <c r="H24" s="176" t="s">
        <v>335</v>
      </c>
      <c r="I24" s="181"/>
    </row>
    <row r="25" spans="1:9" ht="47.25" x14ac:dyDescent="0.25">
      <c r="A25" s="176" t="s">
        <v>336</v>
      </c>
      <c r="B25" s="171">
        <v>53</v>
      </c>
      <c r="C25" s="159">
        <f>1/380</f>
        <v>2.631578947368421E-3</v>
      </c>
      <c r="D25" s="159">
        <v>16</v>
      </c>
      <c r="E25" s="171">
        <f>1/188.76</f>
        <v>5.2977325704598437E-3</v>
      </c>
      <c r="F25" s="171">
        <f>C25*D25*E25</f>
        <v>2.2306242401936183E-4</v>
      </c>
      <c r="G25" s="190">
        <f>'LIMPEZA PHB'!I134</f>
        <v>5927.27</v>
      </c>
      <c r="H25" s="188">
        <f>ROUND((G25*F25),6)</f>
        <v>1.3221510000000001</v>
      </c>
      <c r="I25" s="185">
        <f>H25*B25</f>
        <v>70.074003000000005</v>
      </c>
    </row>
    <row r="26" spans="1:9" ht="15.75" x14ac:dyDescent="0.25">
      <c r="A26" s="176" t="s">
        <v>337</v>
      </c>
      <c r="B26" s="171">
        <v>53</v>
      </c>
      <c r="C26" s="159">
        <f>1/380</f>
        <v>2.631578947368421E-3</v>
      </c>
      <c r="D26" s="159">
        <v>16</v>
      </c>
      <c r="E26" s="171">
        <f>1/188.76</f>
        <v>5.2977325704598437E-3</v>
      </c>
      <c r="F26" s="171">
        <f>C26*D26*E26</f>
        <v>2.2306242401936183E-4</v>
      </c>
      <c r="G26" s="190">
        <f>'LIMPEZA PHB'!I134</f>
        <v>5927.27</v>
      </c>
      <c r="H26" s="188">
        <f>ROUND((G26*F26),4)</f>
        <v>1.3222</v>
      </c>
      <c r="I26" s="185">
        <f t="shared" ref="I26" si="4">H26*B26</f>
        <v>70.076599999999999</v>
      </c>
    </row>
    <row r="27" spans="1:9" ht="15.75" x14ac:dyDescent="0.25">
      <c r="A27" s="159"/>
      <c r="B27" s="158"/>
      <c r="C27" s="159"/>
      <c r="D27" s="159"/>
      <c r="E27" s="158"/>
      <c r="F27" s="158"/>
      <c r="G27" s="158"/>
      <c r="H27" s="158"/>
      <c r="I27" s="186"/>
    </row>
    <row r="28" spans="1:9" ht="15.75" x14ac:dyDescent="0.25">
      <c r="A28" s="409" t="s">
        <v>338</v>
      </c>
      <c r="B28" s="410"/>
      <c r="C28" s="410"/>
      <c r="D28" s="410"/>
      <c r="E28" s="410"/>
      <c r="F28" s="410"/>
      <c r="G28" s="410"/>
      <c r="H28" s="411"/>
      <c r="I28" s="187">
        <f>SUM(F7:F11,F16:F18,I25:I26)</f>
        <v>11856.0803235</v>
      </c>
    </row>
    <row r="29" spans="1:9" ht="15.75" x14ac:dyDescent="0.25">
      <c r="A29" s="409" t="s">
        <v>339</v>
      </c>
      <c r="B29" s="410"/>
      <c r="C29" s="410"/>
      <c r="D29" s="410"/>
      <c r="E29" s="410"/>
      <c r="F29" s="410"/>
      <c r="G29" s="410"/>
      <c r="H29" s="411"/>
      <c r="I29" s="185">
        <f>('Material sob demanda LIMP PHB'!F46)/12</f>
        <v>1465.9408333333333</v>
      </c>
    </row>
    <row r="30" spans="1:9" x14ac:dyDescent="0.25">
      <c r="A30" s="412" t="s">
        <v>340</v>
      </c>
      <c r="B30" s="413"/>
      <c r="C30" s="413"/>
      <c r="D30" s="413"/>
      <c r="E30" s="413"/>
      <c r="F30" s="413"/>
      <c r="G30" s="413"/>
      <c r="H30" s="414"/>
      <c r="I30" s="185">
        <f>SUM(I28:I29)*12</f>
        <v>159864.25388200002</v>
      </c>
    </row>
  </sheetData>
  <mergeCells count="8">
    <mergeCell ref="A28:H28"/>
    <mergeCell ref="A29:H29"/>
    <mergeCell ref="A30:H30"/>
    <mergeCell ref="A2:G2"/>
    <mergeCell ref="A3:F3"/>
    <mergeCell ref="B5:E5"/>
    <mergeCell ref="B14:E14"/>
    <mergeCell ref="B23:H2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3</vt:i4>
      </vt:variant>
    </vt:vector>
  </HeadingPairs>
  <TitlesOfParts>
    <vt:vector size="21" baseType="lpstr">
      <vt:lpstr>Resumo</vt:lpstr>
      <vt:lpstr>LAVADOR DE CARRO</vt:lpstr>
      <vt:lpstr>Equipamentos LAVADOR</vt:lpstr>
      <vt:lpstr>Material sob demanda LAVADOR</vt:lpstr>
      <vt:lpstr>LIMPEZA CAU</vt:lpstr>
      <vt:lpstr>Equipamentos LIMPEZA CAU</vt:lpstr>
      <vt:lpstr>Material sob demanda LIMP CAU</vt:lpstr>
      <vt:lpstr>LIMPEZA PHB</vt:lpstr>
      <vt:lpstr>Complemento Limp. PHB</vt:lpstr>
      <vt:lpstr>Cálculo de Necessidade</vt:lpstr>
      <vt:lpstr>Materiais e Equip. PHB</vt:lpstr>
      <vt:lpstr>Material sob demanda LIMP PHB</vt:lpstr>
      <vt:lpstr>CARREGADOR</vt:lpstr>
      <vt:lpstr>Materiais e EPI</vt:lpstr>
      <vt:lpstr>Transporte (THE)</vt:lpstr>
      <vt:lpstr>Transporte (PHB)</vt:lpstr>
      <vt:lpstr>Uniformes</vt:lpstr>
      <vt:lpstr>Planilha1</vt:lpstr>
      <vt:lpstr>'LIMPEZA CAU'!Area_de_impressao</vt:lpstr>
      <vt:lpstr>'LIMPEZA PHB'!Area_de_impressao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 Ferreira de Oliveira</dc:creator>
  <cp:lastModifiedBy>Camilo Magalhães da Trindade</cp:lastModifiedBy>
  <cp:lastPrinted>2024-11-12T20:53:46Z</cp:lastPrinted>
  <dcterms:created xsi:type="dcterms:W3CDTF">2018-01-23T19:35:16Z</dcterms:created>
  <dcterms:modified xsi:type="dcterms:W3CDTF">2025-07-07T17:34:04Z</dcterms:modified>
</cp:coreProperties>
</file>